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5"/>
  </bookViews>
  <sheets>
    <sheet name="Instructions" sheetId="1" r:id="rId1"/>
    <sheet name="Identification" sheetId="2" r:id="rId2"/>
    <sheet name="Réponses Test abrégé" sheetId="3" r:id="rId3"/>
    <sheet name="Réponses Test complet" sheetId="4" r:id="rId4"/>
    <sheet name="Rapport Test abrégé" sheetId="5" r:id="rId5"/>
    <sheet name="Rapport Test complet" sheetId="6" r:id="rId6"/>
  </sheets>
  <definedNames>
    <definedName name="AbdCap">'Réponses Test abrégé'!$E$12</definedName>
    <definedName name="AbdCraomte">'Réponses Test abrégé'!$F$12</definedName>
    <definedName name="AbdKinap">'Réponses Test abrégé'!$E$12</definedName>
    <definedName name="Abdo1">'Réponses Test complet'!$C$9</definedName>
    <definedName name="Abdo2">'Réponses Test complet'!$D$9</definedName>
    <definedName name="Abdo3">'Réponses Test complet'!$E$9</definedName>
    <definedName name="Abdo4">'Réponses Test complet'!$F$9</definedName>
    <definedName name="AbdoCap">'Réponses Test abrégé'!$E$12</definedName>
    <definedName name="AbdoCrainte">'Réponses Test abrégé'!$F$12</definedName>
    <definedName name="AbdoKinap">'Réponses Test abrégé'!$D$12</definedName>
    <definedName name="AbdoPra">'Réponses Test abrégé'!$C$12</definedName>
    <definedName name="AbKinap">'Réponses Test abrégé'!$D$12</definedName>
    <definedName name="Aqua1">'Réponses Test complet'!$C$10</definedName>
    <definedName name="Aqua2">'Réponses Test complet'!$D$10</definedName>
    <definedName name="Aqua3">'Réponses Test complet'!$E$10</definedName>
    <definedName name="Aqua4">'Réponses Test complet'!$F$10</definedName>
    <definedName name="AquaCap">'Réponses Test abrégé'!$E$20</definedName>
    <definedName name="AquaCrainte">'Réponses Test abrégé'!$F$20</definedName>
    <definedName name="AquaKinap">'Réponses Test abrégé'!$D$20</definedName>
    <definedName name="AquaPra">'Réponses Test abrégé'!$C$20</definedName>
    <definedName name="BadCap">'Réponses Test abrégé'!$E$9</definedName>
    <definedName name="BadCrainte">'Réponses Test abrégé'!$F$9</definedName>
    <definedName name="BadKinap">'Réponses Test abrégé'!$D$9</definedName>
    <definedName name="badm1">'Réponses Test complet'!$C$11</definedName>
    <definedName name="badm2">'Réponses Test complet'!$D$11</definedName>
    <definedName name="badm3">'Réponses Test complet'!$E$11</definedName>
    <definedName name="badm4">'Réponses Test complet'!$F$11</definedName>
    <definedName name="BadPra">'Réponses Test abrégé'!$C$9</definedName>
    <definedName name="base1">'Réponses Test complet'!$C$12</definedName>
    <definedName name="base2">'Réponses Test complet'!$D$12</definedName>
    <definedName name="base3">'Réponses Test complet'!$E$12</definedName>
    <definedName name="base4">'Réponses Test complet'!$F$12</definedName>
    <definedName name="BaseCap">'Réponses Test abrégé'!$E$14</definedName>
    <definedName name="BaseCrainte">'Réponses Test abrégé'!$F$14</definedName>
    <definedName name="BaseKinap">'Réponses Test abrégé'!$D$14</definedName>
    <definedName name="BasePra">'Réponses Test abrégé'!$C$14</definedName>
    <definedName name="bask1">'Réponses Test complet'!$C$13</definedName>
    <definedName name="bask2">'Réponses Test complet'!$D$13</definedName>
    <definedName name="bask3">'Réponses Test complet'!$E$13</definedName>
    <definedName name="bask4">'Réponses Test complet'!$F$13</definedName>
    <definedName name="BaskCap">'Réponses Test abrégé'!$E$17</definedName>
    <definedName name="BaskCrainte">'Réponses Test abrégé'!$F$17</definedName>
    <definedName name="BaskKinap">'Réponses Test abrégé'!$D$17</definedName>
    <definedName name="BaskPra">'Réponses Test abrégé'!$C$17</definedName>
    <definedName name="bill1">'Réponses Test complet'!$C$14</definedName>
    <definedName name="bill2">'Réponses Test complet'!$D$14</definedName>
    <definedName name="bill3">'Réponses Test complet'!$E$14</definedName>
    <definedName name="bill4">'Réponses Test complet'!$F$14</definedName>
    <definedName name="chass1">'Réponses Test complet'!$C$15</definedName>
    <definedName name="chass2">'Réponses Test complet'!$D$15</definedName>
    <definedName name="chass3">'Réponses Test complet'!$E$15</definedName>
    <definedName name="chass4">'Réponses Test complet'!$F$15</definedName>
    <definedName name="date">'Identification'!$C$3</definedName>
    <definedName name="ddn">'Identification'!$L$5</definedName>
    <definedName name="duree">'Identification'!$L$3</definedName>
    <definedName name="EllCap">'Réponses Test abrégé'!$E$13</definedName>
    <definedName name="EllCrainte">'Réponses Test abrégé'!$F$13</definedName>
    <definedName name="elli1">'Réponses Test complet'!$C$16</definedName>
    <definedName name="elli2">'Réponses Test complet'!$D$16</definedName>
    <definedName name="elli3">'Réponses Test complet'!$E$16</definedName>
    <definedName name="elli4">'Réponses Test complet'!$F$16</definedName>
    <definedName name="EllKinap">'Réponses Test abrégé'!$D$13</definedName>
    <definedName name="EllPra">'Réponses Test abrégé'!$C$13</definedName>
    <definedName name="escalade1">'Réponses Test complet'!$C$17</definedName>
    <definedName name="escalade2">'Réponses Test complet'!$D$17</definedName>
    <definedName name="escalade3">'Réponses Test complet'!$E$17</definedName>
    <definedName name="escalade4">'Réponses Test complet'!$F$17</definedName>
    <definedName name="escalier1">'Réponses Test complet'!$C$18</definedName>
    <definedName name="escalier2">'Réponses Test complet'!$D$18</definedName>
    <definedName name="escalier3">'Réponses Test complet'!$E$18</definedName>
    <definedName name="escalier4">'Réponses Test complet'!$F$18</definedName>
    <definedName name="EscCap">'Réponses Test abrégé'!$E$10</definedName>
    <definedName name="EscCrainte">'Réponses Test abrégé'!$F$10</definedName>
    <definedName name="EscKinap">'Réponses Test abrégé'!$D$10</definedName>
    <definedName name="EscPra">'Réponses Test abrégé'!$C$10</definedName>
    <definedName name="Etablissement">'Identification'!$J$1</definedName>
    <definedName name="ExcPra">'Réponses Test abrégé'!$C$10</definedName>
    <definedName name="extgen1">'Réponses Test complet'!$C$19</definedName>
    <definedName name="extgen2">'Réponses Test complet'!$D$19</definedName>
    <definedName name="extgen3">'Réponses Test complet'!$E$19</definedName>
    <definedName name="extgen4">'Réponses Test complet'!$F$19</definedName>
    <definedName name="extlom1">'Réponses Test complet'!$C$20</definedName>
    <definedName name="extlom2">'Réponses Test complet'!$D$20</definedName>
    <definedName name="extlom3">'Réponses Test complet'!$E$20</definedName>
    <definedName name="extlom4">'Réponses Test complet'!$F$20</definedName>
    <definedName name="frisbee1">'Réponses Test complet'!$C$21</definedName>
    <definedName name="frisbee2">'Réponses Test complet'!$D$21</definedName>
    <definedName name="frisbee3">'Réponses Test complet'!$E$21</definedName>
    <definedName name="frisbee4">'Réponses Test complet'!$F$21</definedName>
    <definedName name="gliss1">'Réponses Test complet'!$C$22</definedName>
    <definedName name="gliss2">'Réponses Test complet'!$D$22</definedName>
    <definedName name="gliss3">'Réponses Test complet'!$E$22</definedName>
    <definedName name="gliss4">'Réponses Test complet'!$F$22</definedName>
    <definedName name="golf1">'Réponses Test complet'!$C$23</definedName>
    <definedName name="golf2">'Réponses Test complet'!$D$23</definedName>
    <definedName name="golf3">'Réponses Test complet'!$E$23</definedName>
    <definedName name="golf4">'Réponses Test complet'!$F$23</definedName>
    <definedName name="grdo1">'Réponses Test complet'!$C$24</definedName>
    <definedName name="grdo2">'Réponses Test complet'!$D$24</definedName>
    <definedName name="grdo3">'Réponses Test complet'!$E$24</definedName>
    <definedName name="grdo4">'Réponses Test complet'!$F$24</definedName>
    <definedName name="MarCap">'Réponses Test abrégé'!$E$19</definedName>
    <definedName name="march1">'Réponses Test complet'!$C$25</definedName>
    <definedName name="march2">'Réponses Test complet'!$D$25</definedName>
    <definedName name="march3">'Réponses Test complet'!$E$25</definedName>
    <definedName name="march4">'Réponses Test complet'!$F$25</definedName>
    <definedName name="MarCrainte">'Réponses Test abrégé'!$F$19</definedName>
    <definedName name="MarKinap">'Réponses Test abrégé'!$D$19</definedName>
    <definedName name="MarPra">'Réponses Test abrégé'!$C$19</definedName>
    <definedName name="moto1">'Réponses Test complet'!$C$26</definedName>
    <definedName name="moto2">'Réponses Test complet'!$D$26</definedName>
    <definedName name="moto3">'Réponses Test complet'!$E$26</definedName>
    <definedName name="moto4">'Réponses Test complet'!$F$26</definedName>
    <definedName name="Nata1">'Réponses Test complet'!$C$27</definedName>
    <definedName name="nata2">'Réponses Test complet'!$D$27</definedName>
    <definedName name="nata3">'Réponses Test complet'!$E$27</definedName>
    <definedName name="nata4">'Réponses Test complet'!$F$27</definedName>
    <definedName name="nodossier">'Identification'!$L$7</definedName>
    <definedName name="Nom_usager">'Identification'!$C$5</definedName>
    <definedName name="patin1">'Réponses Test complet'!$C$28</definedName>
    <definedName name="patin2">'Réponses Test complet'!$D$28</definedName>
    <definedName name="patin3">'Réponses Test complet'!$E$28</definedName>
    <definedName name="patin4">'Réponses Test complet'!$F$28</definedName>
    <definedName name="pech1">'Réponses Test complet'!$C$29</definedName>
    <definedName name="pech2">'Réponses Test complet'!$D$29</definedName>
    <definedName name="pech3">'Réponses Test complet'!$E$29</definedName>
    <definedName name="pech4">'Réponses Test complet'!$F$29</definedName>
    <definedName name="pechCap">'Réponses Test abrégé'!$E$16</definedName>
    <definedName name="PechCrainte">'Réponses Test abrégé'!$F$16</definedName>
    <definedName name="PechKinap">'Réponses Test abrégé'!$D$16</definedName>
    <definedName name="PechPra">'Réponses Test abrégé'!$C$16</definedName>
    <definedName name="pect1">'Réponses Test complet'!$C$30</definedName>
    <definedName name="pect2">'Réponses Test complet'!$D$30</definedName>
    <definedName name="pect3">'Réponses Test complet'!$E$30</definedName>
    <definedName name="pect4">'Réponses Test complet'!$F$30</definedName>
    <definedName name="petan1">'Réponses Test complet'!$C$31</definedName>
    <definedName name="petan2">'Réponses Test complet'!$D$31</definedName>
    <definedName name="petan3">'Réponses Test complet'!$E$31</definedName>
    <definedName name="petan4">'Réponses Test complet'!$F$31</definedName>
    <definedName name="Programme">'Identification'!$C$7</definedName>
    <definedName name="push1">'Réponses Test complet'!$C$32</definedName>
    <definedName name="push2">'Réponses Test complet'!$D$32</definedName>
    <definedName name="push3">'Réponses Test complet'!$E$32</definedName>
    <definedName name="push4">'Réponses Test complet'!$F$32</definedName>
    <definedName name="PushCap">'Réponses Test abrégé'!$E$15</definedName>
    <definedName name="PushCrainte">'Réponses Test abrégé'!$F$15</definedName>
    <definedName name="PushKinap">'Réponses Test abrégé'!$D$15</definedName>
    <definedName name="PushPra">'Réponses Test abrégé'!$C$15</definedName>
    <definedName name="QuiCap">'Réponses Test abrégé'!$E$18</definedName>
    <definedName name="QuiCrainte">'Réponses Test abrégé'!$F$18</definedName>
    <definedName name="QuiKinap">'Réponses Test abrégé'!$D$18</definedName>
    <definedName name="quil1">'Réponses Test complet'!$C$33</definedName>
    <definedName name="quil2">'Réponses Test complet'!$D$33</definedName>
    <definedName name="quil3">'Réponses Test complet'!$E$33</definedName>
    <definedName name="quil4">'Réponses Test complet'!$F$33</definedName>
    <definedName name="QuiPra">'Réponses Test abrégé'!$C$18</definedName>
    <definedName name="rame1">'Réponses Test complet'!$C$34</definedName>
    <definedName name="rame2">'Réponses Test complet'!$D$34</definedName>
    <definedName name="rame3">'Réponses Test complet'!$E$34</definedName>
    <definedName name="rame4">'Réponses Test complet'!$F$34</definedName>
    <definedName name="Rand1">'Réponses Test complet'!$C$35</definedName>
    <definedName name="rand2">'Réponses Test complet'!$D$35</definedName>
    <definedName name="rand3">'Réponses Test complet'!$E$35</definedName>
    <definedName name="rand4">'Réponses Test complet'!$F$35</definedName>
    <definedName name="raqu1">'Réponses Test complet'!$C$36</definedName>
    <definedName name="raqu2">'Réponses Test complet'!$D$36</definedName>
    <definedName name="raqu3">'Réponses Test complet'!$E$36</definedName>
    <definedName name="raqu4">'Réponses Test complet'!$F$36</definedName>
    <definedName name="saut1">'Réponses Test complet'!$C$37</definedName>
    <definedName name="saut2">'Réponses Test complet'!$D$37</definedName>
    <definedName name="saut3">'Réponses Test complet'!$E$37</definedName>
    <definedName name="saut4">'Réponses Test complet'!$F$37</definedName>
    <definedName name="sexe">'Identification'!$L$6</definedName>
    <definedName name="simu1">'Réponses Test complet'!$C$38</definedName>
    <definedName name="simu2">'Réponses Test complet'!$D$38</definedName>
    <definedName name="simu3">'Réponses Test complet'!$E$38</definedName>
    <definedName name="simu4">'Réponses Test complet'!$F$38</definedName>
    <definedName name="skif1">'Réponses Test complet'!$C$39</definedName>
    <definedName name="skif2">'Réponses Test complet'!$D$39</definedName>
    <definedName name="skif3">'Réponses Test complet'!$E$39</definedName>
    <definedName name="skif4">'Réponses Test complet'!$F$39</definedName>
    <definedName name="tapis1">'Réponses Test complet'!$C$40</definedName>
    <definedName name="tapis2">'Réponses Test complet'!$D$40</definedName>
    <definedName name="tapis3">'Réponses Test complet'!$E$40</definedName>
    <definedName name="tapis4">'Réponses Test complet'!$F$40</definedName>
    <definedName name="tennis1">'Réponses Test complet'!$C$42</definedName>
    <definedName name="tennis2">'Réponses Test complet'!$D$42</definedName>
    <definedName name="tennis3">'Réponses Test complet'!$E$42</definedName>
    <definedName name="tennis4">'Réponses Test complet'!$F$42</definedName>
    <definedName name="tentab1">'Réponses Test complet'!$C$41</definedName>
    <definedName name="tentab2">'Réponses Test complet'!$D$41</definedName>
    <definedName name="tentab3">'Réponses Test complet'!$E$41</definedName>
    <definedName name="tentab4">'Réponses Test complet'!$F$41</definedName>
    <definedName name="tirarc1">'Réponses Test complet'!$C$43</definedName>
    <definedName name="tirarc2">'Réponses Test complet'!$D$43</definedName>
    <definedName name="tirarc3">'Réponses Test complet'!$E$43</definedName>
    <definedName name="tirarc4">'Réponses Test complet'!$F$43</definedName>
    <definedName name="tirhor1">'Réponses Test complet'!$C$44</definedName>
    <definedName name="tirhor2">'Réponses Test complet'!$D$44</definedName>
    <definedName name="tirhor3">'Réponses Test complet'!$E$44</definedName>
    <definedName name="tirhor4">'Réponses Test complet'!$F$44</definedName>
    <definedName name="velo1">'Réponses Test complet'!$C$47</definedName>
    <definedName name="velo2">'Réponses Test complet'!$D$47</definedName>
    <definedName name="velo3">'Réponses Test complet'!$E$47</definedName>
    <definedName name="velo4">'Réponses Test complet'!$F$47</definedName>
    <definedName name="VeloCap">'Réponses Test abrégé'!$E$11</definedName>
    <definedName name="VeloCrainte">'Réponses Test abrégé'!$F$11</definedName>
    <definedName name="VeloKinap">'Réponses Test abrégé'!$D$11</definedName>
    <definedName name="VeloPra">'Réponses Test abrégé'!$C$11</definedName>
    <definedName name="velosta1">'Réponses Test complet'!$C$46</definedName>
    <definedName name="velosta2">'Réponses Test complet'!$D$46</definedName>
    <definedName name="velosta3">'Réponses Test complet'!$E$46</definedName>
    <definedName name="velosta4">'Réponses Test complet'!$F$46</definedName>
    <definedName name="volley1">'Réponses Test complet'!$C$48</definedName>
    <definedName name="volley2">'Réponses Test complet'!$D$48</definedName>
    <definedName name="volley3">'Réponses Test complet'!$E$48</definedName>
    <definedName name="volley4">'Réponses Test complet'!$F$48</definedName>
    <definedName name="vtt_1">'Réponses Test complet'!$C$45</definedName>
    <definedName name="vtt_2">'Réponses Test complet'!$D$45</definedName>
    <definedName name="vtt_3">'Réponses Test complet'!$E$45</definedName>
    <definedName name="vtt_4">'Réponses Test complet'!$F$45</definedName>
    <definedName name="_xlnm.Print_Area" localSheetId="4">'Rapport Test abrégé'!$A$1:$M$31</definedName>
    <definedName name="_xlnm.Print_Area" localSheetId="5">'Rapport Test complet'!$A$1:$M$70</definedName>
  </definedNames>
  <calcPr fullCalcOnLoad="1"/>
</workbook>
</file>

<file path=xl/sharedStrings.xml><?xml version="1.0" encoding="utf-8"?>
<sst xmlns="http://schemas.openxmlformats.org/spreadsheetml/2006/main" count="228" uniqueCount="114">
  <si>
    <t>KINAP</t>
  </si>
  <si>
    <t xml:space="preserve">DATE DU QUESTIONNAIRE </t>
  </si>
  <si>
    <t xml:space="preserve">NOM DE L'USAGER </t>
  </si>
  <si>
    <t>Billard</t>
  </si>
  <si>
    <t>Chasse</t>
  </si>
  <si>
    <t>Tir à l'arc</t>
  </si>
  <si>
    <t>Aquaforme</t>
  </si>
  <si>
    <t>Natation</t>
  </si>
  <si>
    <t>Rameur</t>
  </si>
  <si>
    <t>Saut à la corde</t>
  </si>
  <si>
    <t>Simulateur d'escalier</t>
  </si>
  <si>
    <t>Vélo stationnaire</t>
  </si>
  <si>
    <t>Extension des bras</t>
  </si>
  <si>
    <t>Extension des genoux</t>
  </si>
  <si>
    <t>Extension lombaire</t>
  </si>
  <si>
    <t>Grand dorsal</t>
  </si>
  <si>
    <t>Pectoraux</t>
  </si>
  <si>
    <t>Tirade horizontale</t>
  </si>
  <si>
    <t>Randonnée</t>
  </si>
  <si>
    <t>Ski de fond</t>
  </si>
  <si>
    <t>Badminton</t>
  </si>
  <si>
    <t>Escalade</t>
  </si>
  <si>
    <t>Patinage</t>
  </si>
  <si>
    <t>Tennis</t>
  </si>
  <si>
    <t>Volleyball</t>
  </si>
  <si>
    <t>Résultat total</t>
  </si>
  <si>
    <t>Pétanque</t>
  </si>
  <si>
    <t>Motoneige</t>
  </si>
  <si>
    <t>Raquette</t>
  </si>
  <si>
    <t>Glissade</t>
  </si>
  <si>
    <t>Marche</t>
  </si>
  <si>
    <t>Golf</t>
  </si>
  <si>
    <t>DURÉE</t>
  </si>
  <si>
    <t>Fait</t>
  </si>
  <si>
    <t>Quilles</t>
  </si>
  <si>
    <t>Pêche</t>
  </si>
  <si>
    <t>Frisbee</t>
  </si>
  <si>
    <t>Tennis de table</t>
  </si>
  <si>
    <t>ACTIVITÉS EXPOSÉES</t>
  </si>
  <si>
    <t>% 
capacité</t>
  </si>
  <si>
    <t>TOUTES LES ACTIVITÉS</t>
  </si>
  <si>
    <t>DATE DE NAISSANCE</t>
  </si>
  <si>
    <t>SEXE</t>
  </si>
  <si>
    <t>PROGRAMME OU SERVICE</t>
  </si>
  <si>
    <t>N° DOSSIER</t>
  </si>
  <si>
    <t xml:space="preserve">Abdominaux </t>
  </si>
  <si>
    <t>Elliptique</t>
  </si>
  <si>
    <t>%
crainte</t>
  </si>
  <si>
    <t>Exposé</t>
  </si>
  <si>
    <t>Capacité</t>
  </si>
  <si>
    <t>Crainte</t>
  </si>
  <si>
    <t>Activités globales et sportives</t>
  </si>
  <si>
    <t>Membres inférieurs</t>
  </si>
  <si>
    <t>Tronc et membres supérieurs</t>
  </si>
  <si>
    <t>Activités à caractère imprévisible</t>
  </si>
  <si>
    <t>Ceinture abdominale</t>
  </si>
  <si>
    <t>Région lombaire</t>
  </si>
  <si>
    <t>Moyenne</t>
  </si>
  <si>
    <t>Question</t>
  </si>
  <si>
    <t>Activité</t>
  </si>
  <si>
    <t xml:space="preserve">Elliptique </t>
  </si>
  <si>
    <t xml:space="preserve">Baseball </t>
  </si>
  <si>
    <t xml:space="preserve">Basketball </t>
  </si>
  <si>
    <t xml:space="preserve">Quilles </t>
  </si>
  <si>
    <t xml:space="preserve">Marche </t>
  </si>
  <si>
    <t xml:space="preserve">Aquaforme </t>
  </si>
  <si>
    <t>Pratique de l'activité</t>
  </si>
  <si>
    <t>Pratique depuis KINAP</t>
  </si>
  <si>
    <t>o = oui</t>
  </si>
  <si>
    <t>n = non</t>
  </si>
  <si>
    <t xml:space="preserve">Natation </t>
  </si>
  <si>
    <t>Push-up (extension des bras)</t>
  </si>
  <si>
    <t>Tapis roulant</t>
  </si>
  <si>
    <t xml:space="preserve">Tennis  </t>
  </si>
  <si>
    <t>Véhicule tout-terrain</t>
  </si>
  <si>
    <t xml:space="preserve">Vélo   </t>
  </si>
  <si>
    <t xml:space="preserve">Vélo  </t>
  </si>
  <si>
    <t xml:space="preserve">DATE DU TEST </t>
  </si>
  <si>
    <t>CIUSSS de la Capitale-Nationale</t>
  </si>
  <si>
    <t>i  = Non, impossible</t>
  </si>
  <si>
    <t>o</t>
  </si>
  <si>
    <t>n</t>
  </si>
  <si>
    <t>i</t>
  </si>
  <si>
    <t>Mode d’emploi du fichier Excel</t>
  </si>
  <si>
    <t xml:space="preserve">Compilation des réponses </t>
  </si>
  <si>
    <t>Impression des rapports</t>
  </si>
  <si>
    <t>n = Non, mais possible</t>
  </si>
  <si>
    <t xml:space="preserve">Escalier </t>
  </si>
  <si>
    <t>Marche sur tapis roulant</t>
  </si>
  <si>
    <t>1.</t>
  </si>
  <si>
    <t>Ouvrir le fichier   « KINAP_Rapports »</t>
  </si>
  <si>
    <t>2.</t>
  </si>
  <si>
    <t>Enregistrer le fichier sous un autre nom.</t>
  </si>
  <si>
    <t>3.</t>
  </si>
  <si>
    <t>Dans l’onglet « Identification », remplacer le contenu des cases bleues par les renseignements sur l'établissement et l’usager.</t>
  </si>
  <si>
    <t>4.</t>
  </si>
  <si>
    <t>Passer à l’onglet « Réponses test abrégé » ou « Réponses test complet » selon le questionnaire correspondant. Noter que les onglets «Rapports» ne peuvent servir à la saisie de données.</t>
  </si>
  <si>
    <t>a)</t>
  </si>
  <si>
    <t>Dans la colonne « C : Pratique de l’activité » :</t>
  </si>
  <si>
    <t>●</t>
  </si>
  <si>
    <t>Transcrire les réponses; oui, non, incapable de m’imaginer par  « o » ou « n » ou « i » aux questions no 1 auxquelles l’usager a répondu.</t>
  </si>
  <si>
    <t>b)</t>
  </si>
  <si>
    <t>Dans la colonne « D : Pratique depuis KINAP » :</t>
  </si>
  <si>
    <t>Transcrire les réponses; oui ou non par « o » ou « n » aux questions no 2 auxquelles l’usager a répondu. Noter que la case peut rester vierge s'il s'agit d'un premier Kinap.</t>
  </si>
  <si>
    <t>c)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</si>
  <si>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Dans les colonnes « E : Capacité » et « F : Crainte » :</t>
    </r>
  </si>
  <si>
    <t xml:space="preserve">Noter en chiffres (sans inscrire le signe de %) </t>
  </si>
  <si>
    <t>5.</t>
  </si>
  <si>
    <t xml:space="preserve">La programmation des rapports est protégée par un mot de passe afin d'éviter l’intrusion dans le cadre principal du Kinap et la modification par inadvertance. </t>
  </si>
  <si>
    <t>Enregistrer le fichier.</t>
  </si>
  <si>
    <t>Passer à l’onglet « Rapport Test abrégé » ou « Rapport Test complet » selon le questionnaire que l’usager a rempli.</t>
  </si>
  <si>
    <t>Imprimer la feuille active.</t>
  </si>
  <si>
    <t>Questionnaire complet</t>
  </si>
  <si>
    <t>Questionnaire abrégé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</si>
</sst>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4"/>
      <color indexed="9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20"/>
      <color indexed="8"/>
      <name val="Arial Narrow"/>
      <family val="2"/>
    </font>
    <font>
      <b/>
      <sz val="14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3"/>
      <name val="Arial Narrow"/>
      <family val="2"/>
    </font>
    <font>
      <b/>
      <sz val="10"/>
      <color indexed="8"/>
      <name val="Trebuchet MS"/>
      <family val="2"/>
    </font>
    <font>
      <sz val="10"/>
      <color indexed="8"/>
      <name val="Symbol"/>
      <family val="1"/>
    </font>
    <font>
      <b/>
      <sz val="10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4"/>
      <color theme="0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b/>
      <sz val="14"/>
      <color theme="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 tint="-0.04997999966144562"/>
      <name val="Calibri"/>
      <family val="2"/>
    </font>
    <font>
      <b/>
      <sz val="18"/>
      <color theme="1"/>
      <name val="Calibri"/>
      <family val="2"/>
    </font>
    <font>
      <b/>
      <sz val="10"/>
      <color theme="1" tint="0.49998000264167786"/>
      <name val="Arial Narrow"/>
      <family val="2"/>
    </font>
    <font>
      <sz val="10"/>
      <color theme="1"/>
      <name val="Calibri"/>
      <family val="2"/>
    </font>
    <font>
      <b/>
      <sz val="10"/>
      <color theme="1"/>
      <name val="Trebuchet MS"/>
      <family val="2"/>
    </font>
    <font>
      <sz val="10"/>
      <color theme="1"/>
      <name val="Symbol"/>
      <family val="1"/>
    </font>
    <font>
      <b/>
      <sz val="10"/>
      <color theme="1"/>
      <name val="Calibri"/>
      <family val="2"/>
    </font>
    <font>
      <b/>
      <sz val="1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5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3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3" fillId="0" borderId="10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54" fillId="0" borderId="10" xfId="0" applyFont="1" applyBorder="1" applyAlignment="1">
      <alignment horizontal="left" wrapText="1"/>
    </xf>
    <xf numFmtId="0" fontId="56" fillId="34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49" fontId="54" fillId="0" borderId="10" xfId="0" applyNumberFormat="1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21" fontId="54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49" fontId="54" fillId="0" borderId="0" xfId="0" applyNumberFormat="1" applyFont="1" applyBorder="1" applyAlignment="1">
      <alignment/>
    </xf>
    <xf numFmtId="49" fontId="54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6" fillId="34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60" fillId="34" borderId="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 horizontal="left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53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61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52" fillId="36" borderId="0" xfId="0" applyFont="1" applyFill="1" applyAlignment="1">
      <alignment horizontal="center"/>
    </xf>
    <xf numFmtId="0" fontId="52" fillId="37" borderId="0" xfId="0" applyFont="1" applyFill="1" applyAlignment="1">
      <alignment horizontal="center"/>
    </xf>
    <xf numFmtId="0" fontId="63" fillId="38" borderId="0" xfId="0" applyFont="1" applyFill="1" applyAlignment="1">
      <alignment horizontal="left"/>
    </xf>
    <xf numFmtId="0" fontId="51" fillId="39" borderId="0" xfId="0" applyFont="1" applyFill="1" applyAlignment="1">
      <alignment horizontal="left"/>
    </xf>
    <xf numFmtId="0" fontId="64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left" wrapText="1"/>
    </xf>
    <xf numFmtId="0" fontId="0" fillId="2" borderId="13" xfId="0" applyFill="1" applyBorder="1" applyAlignment="1">
      <alignment horizontal="center"/>
    </xf>
    <xf numFmtId="0" fontId="36" fillId="0" borderId="0" xfId="0" applyFont="1" applyAlignment="1">
      <alignment horizontal="center"/>
    </xf>
    <xf numFmtId="0" fontId="59" fillId="0" borderId="14" xfId="0" applyFont="1" applyFill="1" applyBorder="1" applyAlignment="1" applyProtection="1">
      <alignment/>
      <protection locked="0"/>
    </xf>
    <xf numFmtId="0" fontId="53" fillId="0" borderId="14" xfId="0" applyFont="1" applyFill="1" applyBorder="1" applyAlignment="1" applyProtection="1">
      <alignment/>
      <protection locked="0"/>
    </xf>
    <xf numFmtId="0" fontId="53" fillId="0" borderId="14" xfId="0" applyFont="1" applyFill="1" applyBorder="1" applyAlignment="1" applyProtection="1">
      <alignment horizontal="center"/>
      <protection locked="0"/>
    </xf>
    <xf numFmtId="0" fontId="53" fillId="0" borderId="14" xfId="0" applyFont="1" applyFill="1" applyBorder="1" applyAlignment="1" applyProtection="1">
      <alignment horizontal="left"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65" fillId="0" borderId="1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14" fontId="54" fillId="0" borderId="0" xfId="0" applyNumberFormat="1" applyFont="1" applyFill="1" applyBorder="1" applyAlignment="1" applyProtection="1">
      <alignment horizontal="center"/>
      <protection locked="0"/>
    </xf>
    <xf numFmtId="49" fontId="54" fillId="0" borderId="0" xfId="0" applyNumberFormat="1" applyFont="1" applyFill="1" applyBorder="1" applyAlignment="1" applyProtection="1">
      <alignment horizontal="left"/>
      <protection locked="0"/>
    </xf>
    <xf numFmtId="0" fontId="65" fillId="0" borderId="0" xfId="0" applyFont="1" applyFill="1" applyBorder="1" applyAlignment="1" applyProtection="1">
      <alignment horizontal="left"/>
      <protection locked="0"/>
    </xf>
    <xf numFmtId="21" fontId="54" fillId="0" borderId="0" xfId="0" applyNumberFormat="1" applyFont="1" applyFill="1" applyBorder="1" applyAlignment="1" applyProtection="1">
      <alignment horizontal="left"/>
      <protection locked="0"/>
    </xf>
    <xf numFmtId="0" fontId="54" fillId="0" borderId="10" xfId="0" applyFont="1" applyFill="1" applyBorder="1" applyAlignment="1" applyProtection="1">
      <alignment horizontal="center"/>
      <protection locked="0"/>
    </xf>
    <xf numFmtId="49" fontId="54" fillId="0" borderId="0" xfId="0" applyNumberFormat="1" applyFont="1" applyFill="1" applyBorder="1" applyAlignment="1" applyProtection="1">
      <alignment/>
      <protection locked="0"/>
    </xf>
    <xf numFmtId="0" fontId="65" fillId="0" borderId="12" xfId="0" applyFont="1" applyFill="1" applyBorder="1" applyAlignment="1" applyProtection="1">
      <alignment/>
      <protection locked="0"/>
    </xf>
    <xf numFmtId="0" fontId="54" fillId="0" borderId="12" xfId="0" applyFont="1" applyFill="1" applyBorder="1" applyAlignment="1" applyProtection="1">
      <alignment horizontal="center"/>
      <protection locked="0"/>
    </xf>
    <xf numFmtId="0" fontId="53" fillId="0" borderId="0" xfId="0" applyFont="1" applyFill="1" applyAlignment="1" applyProtection="1">
      <alignment/>
      <protection locked="0"/>
    </xf>
    <xf numFmtId="0" fontId="0" fillId="0" borderId="0" xfId="0" applyAlignment="1">
      <alignment horizontal="left" vertical="top"/>
    </xf>
    <xf numFmtId="0" fontId="51" fillId="0" borderId="0" xfId="0" applyFont="1" applyAlignment="1">
      <alignment horizontal="left" vertical="top"/>
    </xf>
    <xf numFmtId="0" fontId="66" fillId="0" borderId="0" xfId="0" applyFont="1" applyAlignment="1">
      <alignment horizontal="left" vertical="top"/>
    </xf>
    <xf numFmtId="0" fontId="67" fillId="0" borderId="0" xfId="0" applyFont="1" applyAlignment="1">
      <alignment horizontal="left" vertical="top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left" vertical="top" indent="10"/>
    </xf>
    <xf numFmtId="0" fontId="66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 indent="13"/>
    </xf>
    <xf numFmtId="0" fontId="66" fillId="0" borderId="0" xfId="0" applyFont="1" applyAlignment="1">
      <alignment vertical="top"/>
    </xf>
    <xf numFmtId="0" fontId="69" fillId="0" borderId="0" xfId="0" applyFont="1" applyAlignment="1">
      <alignment horizontal="left" vertical="top" indent="5"/>
    </xf>
    <xf numFmtId="0" fontId="53" fillId="0" borderId="0" xfId="0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53" fillId="0" borderId="0" xfId="0" applyNumberFormat="1" applyFont="1" applyBorder="1" applyAlignment="1" applyProtection="1">
      <alignment horizontal="center"/>
      <protection hidden="1"/>
    </xf>
    <xf numFmtId="0" fontId="53" fillId="0" borderId="0" xfId="0" applyNumberFormat="1" applyFont="1" applyFill="1" applyBorder="1" applyAlignment="1" applyProtection="1">
      <alignment horizontal="left"/>
      <protection hidden="1"/>
    </xf>
    <xf numFmtId="0" fontId="53" fillId="0" borderId="0" xfId="0" applyNumberFormat="1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 horizontal="center"/>
      <protection hidden="1"/>
    </xf>
    <xf numFmtId="0" fontId="53" fillId="0" borderId="0" xfId="0" applyFont="1" applyAlignment="1" applyProtection="1">
      <alignment horizontal="left"/>
      <protection hidden="1"/>
    </xf>
    <xf numFmtId="0" fontId="53" fillId="0" borderId="0" xfId="0" applyFont="1" applyFill="1" applyBorder="1" applyAlignment="1" applyProtection="1">
      <alignment horizontal="left"/>
      <protection hidden="1"/>
    </xf>
    <xf numFmtId="0" fontId="56" fillId="34" borderId="0" xfId="0" applyFont="1" applyFill="1" applyBorder="1" applyAlignment="1" applyProtection="1">
      <alignment horizontal="center"/>
      <protection hidden="1"/>
    </xf>
    <xf numFmtId="1" fontId="60" fillId="34" borderId="0" xfId="0" applyNumberFormat="1" applyFont="1" applyFill="1" applyBorder="1" applyAlignment="1" applyProtection="1">
      <alignment horizontal="center"/>
      <protection hidden="1"/>
    </xf>
    <xf numFmtId="0" fontId="56" fillId="0" borderId="0" xfId="0" applyFont="1" applyFill="1" applyBorder="1" applyAlignment="1" applyProtection="1">
      <alignment horizontal="center"/>
      <protection hidden="1"/>
    </xf>
    <xf numFmtId="0" fontId="53" fillId="0" borderId="0" xfId="0" applyFont="1" applyFill="1" applyAlignment="1" applyProtection="1">
      <alignment horizontal="left"/>
      <protection hidden="1"/>
    </xf>
    <xf numFmtId="0" fontId="53" fillId="0" borderId="0" xfId="0" applyFont="1" applyFill="1" applyAlignment="1" applyProtection="1">
      <alignment horizontal="center"/>
      <protection hidden="1"/>
    </xf>
    <xf numFmtId="1" fontId="54" fillId="33" borderId="0" xfId="0" applyNumberFormat="1" applyFont="1" applyFill="1" applyAlignment="1" applyProtection="1">
      <alignment horizontal="center" vertical="center"/>
      <protection hidden="1"/>
    </xf>
    <xf numFmtId="0" fontId="54" fillId="33" borderId="0" xfId="0" applyFont="1" applyFill="1" applyAlignment="1" applyProtection="1">
      <alignment horizontal="center" vertical="center"/>
      <protection hidden="1"/>
    </xf>
    <xf numFmtId="1" fontId="54" fillId="0" borderId="0" xfId="0" applyNumberFormat="1" applyFont="1" applyFill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center"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 horizontal="left" vertical="center" wrapText="1" indent="2"/>
      <protection hidden="1"/>
    </xf>
    <xf numFmtId="0" fontId="53" fillId="0" borderId="0" xfId="0" applyFont="1" applyFill="1" applyBorder="1" applyAlignment="1" applyProtection="1">
      <alignment horizontal="center"/>
      <protection hidden="1"/>
    </xf>
    <xf numFmtId="0" fontId="57" fillId="33" borderId="0" xfId="0" applyFont="1" applyFill="1" applyAlignment="1" applyProtection="1">
      <alignment horizontal="center" vertical="center"/>
      <protection hidden="1"/>
    </xf>
    <xf numFmtId="0" fontId="54" fillId="0" borderId="0" xfId="0" applyFont="1" applyFill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 wrapText="1" indent="2"/>
      <protection hidden="1"/>
    </xf>
    <xf numFmtId="0" fontId="54" fillId="0" borderId="0" xfId="0" applyFont="1" applyFill="1" applyAlignment="1" applyProtection="1">
      <alignment horizontal="center"/>
      <protection hidden="1"/>
    </xf>
    <xf numFmtId="1" fontId="54" fillId="0" borderId="0" xfId="0" applyNumberFormat="1" applyFont="1" applyFill="1" applyAlignment="1" applyProtection="1">
      <alignment horizontal="center"/>
      <protection hidden="1"/>
    </xf>
    <xf numFmtId="1" fontId="54" fillId="0" borderId="0" xfId="0" applyNumberFormat="1" applyFont="1" applyFill="1" applyAlignment="1" applyProtection="1">
      <alignment horizontal="left"/>
      <protection hidden="1"/>
    </xf>
    <xf numFmtId="0" fontId="54" fillId="0" borderId="0" xfId="0" applyFont="1" applyFill="1" applyAlignment="1" applyProtection="1">
      <alignment horizontal="left"/>
      <protection hidden="1"/>
    </xf>
    <xf numFmtId="0" fontId="66" fillId="0" borderId="0" xfId="0" applyFont="1" applyAlignment="1">
      <alignment horizontal="left" vertical="top" wrapText="1"/>
    </xf>
    <xf numFmtId="0" fontId="70" fillId="38" borderId="0" xfId="0" applyFont="1" applyFill="1" applyAlignment="1">
      <alignment horizontal="left" vertical="top"/>
    </xf>
    <xf numFmtId="0" fontId="69" fillId="40" borderId="0" xfId="0" applyFont="1" applyFill="1" applyAlignment="1">
      <alignment horizontal="left" vertical="top"/>
    </xf>
    <xf numFmtId="0" fontId="6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4" fillId="2" borderId="0" xfId="0" applyFont="1" applyFill="1" applyBorder="1" applyAlignment="1">
      <alignment horizontal="left"/>
    </xf>
    <xf numFmtId="49" fontId="54" fillId="2" borderId="10" xfId="0" applyNumberFormat="1" applyFont="1" applyFill="1" applyBorder="1" applyAlignment="1">
      <alignment horizontal="left"/>
    </xf>
    <xf numFmtId="14" fontId="54" fillId="2" borderId="10" xfId="0" applyNumberFormat="1" applyFont="1" applyFill="1" applyBorder="1" applyAlignment="1">
      <alignment horizontal="center"/>
    </xf>
    <xf numFmtId="0" fontId="54" fillId="2" borderId="10" xfId="0" applyFont="1" applyFill="1" applyBorder="1" applyAlignment="1">
      <alignment horizontal="center"/>
    </xf>
    <xf numFmtId="0" fontId="54" fillId="2" borderId="12" xfId="0" applyFont="1" applyFill="1" applyBorder="1" applyAlignment="1">
      <alignment horizontal="center"/>
    </xf>
    <xf numFmtId="0" fontId="54" fillId="0" borderId="14" xfId="0" applyFont="1" applyFill="1" applyBorder="1" applyAlignment="1" applyProtection="1">
      <alignment horizontal="right"/>
      <protection locked="0"/>
    </xf>
    <xf numFmtId="0" fontId="54" fillId="0" borderId="12" xfId="0" applyFont="1" applyBorder="1" applyAlignment="1">
      <alignment horizontal="center"/>
    </xf>
    <xf numFmtId="14" fontId="54" fillId="0" borderId="10" xfId="0" applyNumberFormat="1" applyFont="1" applyFill="1" applyBorder="1" applyAlignment="1" applyProtection="1">
      <alignment horizontal="right"/>
      <protection locked="0"/>
    </xf>
    <xf numFmtId="0" fontId="54" fillId="0" borderId="10" xfId="0" applyNumberFormat="1" applyFont="1" applyFill="1" applyBorder="1" applyAlignment="1" applyProtection="1">
      <alignment horizontal="left"/>
      <protection locked="0"/>
    </xf>
    <xf numFmtId="14" fontId="54" fillId="0" borderId="10" xfId="0" applyNumberFormat="1" applyFont="1" applyFill="1" applyBorder="1" applyAlignment="1" applyProtection="1">
      <alignment horizontal="left"/>
      <protection locked="0"/>
    </xf>
    <xf numFmtId="0" fontId="54" fillId="0" borderId="10" xfId="0" applyFont="1" applyFill="1" applyBorder="1" applyAlignment="1" applyProtection="1">
      <alignment horizontal="right"/>
      <protection locked="0"/>
    </xf>
    <xf numFmtId="0" fontId="54" fillId="0" borderId="12" xfId="0" applyFon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 applyProtection="1">
      <alignment horizontal="right"/>
      <protection locked="0"/>
    </xf>
    <xf numFmtId="14" fontId="54" fillId="41" borderId="1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8">
    <dxf>
      <fill>
        <patternFill>
          <bgColor rgb="FFFFFF9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rgb="FFFFFF9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="145" zoomScaleNormal="145" zoomScalePageLayoutView="0" workbookViewId="0" topLeftCell="A1">
      <selection activeCell="B5" sqref="B5:D5"/>
    </sheetView>
  </sheetViews>
  <sheetFormatPr defaultColWidth="11.421875" defaultRowHeight="15"/>
  <cols>
    <col min="1" max="1" width="5.28125" style="99" customWidth="1"/>
    <col min="2" max="2" width="4.7109375" style="99" customWidth="1"/>
    <col min="3" max="3" width="4.140625" style="99" customWidth="1"/>
    <col min="4" max="4" width="73.57421875" style="99" customWidth="1"/>
    <col min="5" max="16384" width="11.421875" style="99" customWidth="1"/>
  </cols>
  <sheetData>
    <row r="1" spans="1:4" ht="21">
      <c r="A1" s="137" t="s">
        <v>83</v>
      </c>
      <c r="B1" s="137"/>
      <c r="C1" s="137"/>
      <c r="D1" s="137"/>
    </row>
    <row r="2" ht="15">
      <c r="A2" s="100"/>
    </row>
    <row r="3" spans="1:16" ht="15">
      <c r="A3" s="138" t="s">
        <v>84</v>
      </c>
      <c r="B3" s="138"/>
      <c r="C3" s="138"/>
      <c r="D3" s="138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5">
      <c r="A4" s="100" t="s">
        <v>89</v>
      </c>
      <c r="B4" s="139" t="s">
        <v>90</v>
      </c>
      <c r="C4" s="139"/>
      <c r="D4" s="139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5">
      <c r="A5" s="100" t="s">
        <v>91</v>
      </c>
      <c r="B5" s="139" t="s">
        <v>92</v>
      </c>
      <c r="C5" s="139"/>
      <c r="D5" s="139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27.75" customHeight="1">
      <c r="A6" s="100" t="s">
        <v>93</v>
      </c>
      <c r="B6" s="136" t="s">
        <v>94</v>
      </c>
      <c r="C6" s="136"/>
      <c r="D6" s="136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25.5" customHeight="1">
      <c r="A7" s="100" t="s">
        <v>95</v>
      </c>
      <c r="B7" s="136" t="s">
        <v>96</v>
      </c>
      <c r="C7" s="136"/>
      <c r="D7" s="136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5">
      <c r="A8" s="100"/>
      <c r="B8" s="101" t="s">
        <v>97</v>
      </c>
      <c r="C8" s="139" t="s">
        <v>98</v>
      </c>
      <c r="D8" s="139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25.5">
      <c r="A9" s="100"/>
      <c r="B9" s="101"/>
      <c r="C9" s="102" t="s">
        <v>99</v>
      </c>
      <c r="D9" s="103" t="s">
        <v>100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15">
      <c r="A10" s="100"/>
      <c r="B10" s="101" t="s">
        <v>101</v>
      </c>
      <c r="C10" s="139" t="s">
        <v>102</v>
      </c>
      <c r="D10" s="139"/>
      <c r="E10" s="104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ht="30.75" customHeight="1">
      <c r="A11" s="100"/>
      <c r="B11" s="101"/>
      <c r="C11" s="102" t="s">
        <v>99</v>
      </c>
      <c r="D11" s="105" t="s">
        <v>103</v>
      </c>
      <c r="E11" s="106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ht="15">
      <c r="A12" s="100"/>
      <c r="B12" s="101" t="s">
        <v>104</v>
      </c>
      <c r="C12" s="136" t="s">
        <v>105</v>
      </c>
      <c r="D12" s="136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ht="15">
      <c r="A13" s="100"/>
      <c r="B13" s="101"/>
      <c r="C13" s="102" t="s">
        <v>99</v>
      </c>
      <c r="D13" s="107" t="s">
        <v>106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ht="30.75" customHeight="1">
      <c r="A14" s="100" t="s">
        <v>107</v>
      </c>
      <c r="B14" s="136" t="s">
        <v>108</v>
      </c>
      <c r="C14" s="136"/>
      <c r="D14" s="136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ht="15">
      <c r="A15" s="140"/>
      <c r="B15" s="140"/>
      <c r="C15" s="140"/>
      <c r="D15" s="140"/>
      <c r="E15" s="108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ht="15">
      <c r="A16" s="138" t="s">
        <v>85</v>
      </c>
      <c r="B16" s="138"/>
      <c r="C16" s="138"/>
      <c r="D16" s="138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ht="15">
      <c r="A17" s="99" t="s">
        <v>89</v>
      </c>
      <c r="B17" s="136" t="s">
        <v>109</v>
      </c>
      <c r="C17" s="136"/>
      <c r="D17" s="136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 ht="30" customHeight="1">
      <c r="A18" s="99" t="s">
        <v>91</v>
      </c>
      <c r="B18" s="136" t="s">
        <v>110</v>
      </c>
      <c r="C18" s="136"/>
      <c r="D18" s="136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15">
      <c r="A19" s="99" t="s">
        <v>93</v>
      </c>
      <c r="B19" s="139" t="s">
        <v>111</v>
      </c>
      <c r="C19" s="139"/>
      <c r="D19" s="139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</sheetData>
  <sheetProtection/>
  <mergeCells count="15">
    <mergeCell ref="B17:D17"/>
    <mergeCell ref="B18:D18"/>
    <mergeCell ref="B19:D19"/>
    <mergeCell ref="C8:D8"/>
    <mergeCell ref="C10:D10"/>
    <mergeCell ref="C12:D12"/>
    <mergeCell ref="B14:D14"/>
    <mergeCell ref="A15:D15"/>
    <mergeCell ref="A16:D16"/>
    <mergeCell ref="B7:D7"/>
    <mergeCell ref="A1:D1"/>
    <mergeCell ref="A3:D3"/>
    <mergeCell ref="B4:D4"/>
    <mergeCell ref="B5:D5"/>
    <mergeCell ref="B6:D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J1" sqref="J1:M1"/>
    </sheetView>
  </sheetViews>
  <sheetFormatPr defaultColWidth="11.421875" defaultRowHeight="15"/>
  <cols>
    <col min="2" max="2" width="19.57421875" style="0" customWidth="1"/>
    <col min="10" max="10" width="11.421875" style="0" customWidth="1"/>
    <col min="11" max="11" width="0.85546875" style="0" customWidth="1"/>
  </cols>
  <sheetData>
    <row r="1" spans="1:13" ht="25.5">
      <c r="A1" s="43" t="s">
        <v>0</v>
      </c>
      <c r="B1" s="27"/>
      <c r="C1" s="60"/>
      <c r="D1" s="60"/>
      <c r="E1" s="60"/>
      <c r="F1" s="1"/>
      <c r="G1" s="36"/>
      <c r="H1" s="60"/>
      <c r="I1" s="1"/>
      <c r="J1" s="141" t="s">
        <v>78</v>
      </c>
      <c r="K1" s="141"/>
      <c r="L1" s="141"/>
      <c r="M1" s="141"/>
    </row>
    <row r="2" spans="1:13" ht="25.5">
      <c r="A2" s="43"/>
      <c r="B2" s="27"/>
      <c r="C2" s="60"/>
      <c r="D2" s="60"/>
      <c r="E2" s="60"/>
      <c r="F2" s="60"/>
      <c r="G2" s="36"/>
      <c r="H2" s="60"/>
      <c r="I2" s="36"/>
      <c r="J2" s="60"/>
      <c r="K2" s="60"/>
      <c r="L2" s="36"/>
      <c r="M2" s="60"/>
    </row>
    <row r="3" spans="1:13" ht="16.5">
      <c r="A3" s="37" t="s">
        <v>77</v>
      </c>
      <c r="B3" s="37"/>
      <c r="C3" s="142"/>
      <c r="D3" s="142"/>
      <c r="E3" s="142"/>
      <c r="F3" s="142"/>
      <c r="G3" s="142"/>
      <c r="H3" s="24"/>
      <c r="I3" s="37" t="s">
        <v>32</v>
      </c>
      <c r="J3" s="37"/>
      <c r="K3" s="21"/>
      <c r="L3" s="144"/>
      <c r="M3" s="144"/>
    </row>
    <row r="4" spans="1:13" ht="16.5">
      <c r="A4" s="37"/>
      <c r="B4" s="37"/>
      <c r="C4" s="22"/>
      <c r="D4" s="38"/>
      <c r="E4" s="38"/>
      <c r="F4" s="24"/>
      <c r="G4" s="26"/>
      <c r="H4" s="24"/>
      <c r="I4" s="24"/>
      <c r="J4" s="37"/>
      <c r="K4" s="22"/>
      <c r="L4" s="23"/>
      <c r="M4" s="22"/>
    </row>
    <row r="5" spans="1:13" ht="16.5">
      <c r="A5" s="37" t="s">
        <v>2</v>
      </c>
      <c r="B5" s="37"/>
      <c r="C5" s="142"/>
      <c r="D5" s="142"/>
      <c r="E5" s="142"/>
      <c r="F5" s="142"/>
      <c r="G5" s="142"/>
      <c r="H5" s="24"/>
      <c r="I5" s="37" t="s">
        <v>41</v>
      </c>
      <c r="J5" s="22"/>
      <c r="K5" s="45"/>
      <c r="L5" s="143"/>
      <c r="M5" s="144"/>
    </row>
    <row r="6" spans="1:13" ht="33.75" customHeight="1">
      <c r="A6" s="37"/>
      <c r="B6" s="37"/>
      <c r="C6" s="25"/>
      <c r="D6" s="25"/>
      <c r="E6" s="25"/>
      <c r="F6" s="26"/>
      <c r="G6" s="24"/>
      <c r="H6" s="24"/>
      <c r="I6" s="37" t="s">
        <v>42</v>
      </c>
      <c r="J6" s="22"/>
      <c r="K6" s="46"/>
      <c r="L6" s="145"/>
      <c r="M6" s="145"/>
    </row>
    <row r="7" spans="1:13" ht="36.75" customHeight="1">
      <c r="A7" s="37" t="s">
        <v>43</v>
      </c>
      <c r="B7" s="37"/>
      <c r="C7" s="142"/>
      <c r="D7" s="142"/>
      <c r="E7" s="142"/>
      <c r="F7" s="142"/>
      <c r="G7" s="142"/>
      <c r="H7" s="24"/>
      <c r="I7" s="37" t="s">
        <v>44</v>
      </c>
      <c r="J7" s="22"/>
      <c r="K7" s="45"/>
      <c r="L7" s="145"/>
      <c r="M7" s="145"/>
    </row>
  </sheetData>
  <sheetProtection/>
  <mergeCells count="8">
    <mergeCell ref="J1:M1"/>
    <mergeCell ref="C5:G5"/>
    <mergeCell ref="L5:M5"/>
    <mergeCell ref="L6:M6"/>
    <mergeCell ref="C7:G7"/>
    <mergeCell ref="L7:M7"/>
    <mergeCell ref="C3:G3"/>
    <mergeCell ref="L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11.421875" defaultRowHeight="15"/>
  <cols>
    <col min="2" max="2" width="27.57421875" style="0" customWidth="1"/>
    <col min="3" max="3" width="25.28125" style="61" customWidth="1"/>
    <col min="4" max="4" width="24.8515625" style="61" customWidth="1"/>
    <col min="5" max="6" width="14.7109375" style="61" customWidth="1"/>
  </cols>
  <sheetData>
    <row r="1" spans="3:4" ht="15">
      <c r="C1" s="75" t="s">
        <v>80</v>
      </c>
      <c r="D1" s="75" t="s">
        <v>80</v>
      </c>
    </row>
    <row r="2" spans="1:4" ht="23.25">
      <c r="A2" s="70" t="s">
        <v>113</v>
      </c>
      <c r="C2" s="75" t="s">
        <v>81</v>
      </c>
      <c r="D2" s="75" t="s">
        <v>81</v>
      </c>
    </row>
    <row r="3" spans="3:4" ht="15">
      <c r="C3" s="75" t="s">
        <v>82</v>
      </c>
      <c r="D3" s="75"/>
    </row>
    <row r="4" spans="3:6" ht="15">
      <c r="C4" s="68" t="s">
        <v>66</v>
      </c>
      <c r="D4" s="69" t="s">
        <v>67</v>
      </c>
      <c r="E4" s="66" t="s">
        <v>49</v>
      </c>
      <c r="F4" s="67" t="s">
        <v>50</v>
      </c>
    </row>
    <row r="5" spans="1:6" s="1" customFormat="1" ht="16.5">
      <c r="A5" s="11"/>
      <c r="B5" s="7"/>
      <c r="C5" s="5" t="s">
        <v>68</v>
      </c>
      <c r="D5" s="5" t="s">
        <v>68</v>
      </c>
      <c r="E5" s="11"/>
      <c r="F5" s="11"/>
    </row>
    <row r="6" spans="1:6" s="1" customFormat="1" ht="16.5">
      <c r="A6" s="11"/>
      <c r="B6" s="7"/>
      <c r="C6" s="5" t="s">
        <v>86</v>
      </c>
      <c r="D6" s="5" t="s">
        <v>69</v>
      </c>
      <c r="E6" s="11"/>
      <c r="F6" s="11"/>
    </row>
    <row r="7" spans="1:6" s="1" customFormat="1" ht="16.5">
      <c r="A7" s="11"/>
      <c r="B7" s="7"/>
      <c r="C7" s="5" t="s">
        <v>79</v>
      </c>
      <c r="D7" s="4"/>
      <c r="E7" s="11"/>
      <c r="F7" s="11"/>
    </row>
    <row r="8" spans="1:6" s="1" customFormat="1" ht="17.25" customHeight="1">
      <c r="A8" s="62" t="s">
        <v>58</v>
      </c>
      <c r="B8" s="63" t="s">
        <v>59</v>
      </c>
      <c r="C8" s="5"/>
      <c r="D8" s="11"/>
      <c r="E8" s="11"/>
      <c r="F8" s="11"/>
    </row>
    <row r="9" spans="1:6" ht="15">
      <c r="A9" s="62">
        <v>1</v>
      </c>
      <c r="B9" s="64" t="s">
        <v>20</v>
      </c>
      <c r="C9" s="74"/>
      <c r="D9" s="74"/>
      <c r="E9" s="74"/>
      <c r="F9" s="74"/>
    </row>
    <row r="10" spans="1:6" ht="15">
      <c r="A10" s="62">
        <v>2</v>
      </c>
      <c r="B10" s="64" t="s">
        <v>10</v>
      </c>
      <c r="C10" s="74"/>
      <c r="D10" s="74"/>
      <c r="E10" s="74"/>
      <c r="F10" s="74"/>
    </row>
    <row r="11" spans="1:6" ht="15">
      <c r="A11" s="62">
        <v>3</v>
      </c>
      <c r="B11" s="65" t="s">
        <v>11</v>
      </c>
      <c r="C11" s="74"/>
      <c r="D11" s="74"/>
      <c r="E11" s="74"/>
      <c r="F11" s="74"/>
    </row>
    <row r="12" spans="1:6" ht="15">
      <c r="A12" s="62">
        <v>4</v>
      </c>
      <c r="B12" s="65" t="s">
        <v>45</v>
      </c>
      <c r="C12" s="74"/>
      <c r="D12" s="74"/>
      <c r="E12" s="74"/>
      <c r="F12" s="74"/>
    </row>
    <row r="13" spans="1:6" ht="15">
      <c r="A13" s="62">
        <v>5</v>
      </c>
      <c r="B13" s="65" t="s">
        <v>60</v>
      </c>
      <c r="C13" s="74"/>
      <c r="D13" s="74"/>
      <c r="E13" s="74"/>
      <c r="F13" s="74"/>
    </row>
    <row r="14" spans="1:6" ht="15">
      <c r="A14" s="62">
        <v>6</v>
      </c>
      <c r="B14" s="65" t="s">
        <v>61</v>
      </c>
      <c r="C14" s="74"/>
      <c r="D14" s="74"/>
      <c r="E14" s="74"/>
      <c r="F14" s="74"/>
    </row>
    <row r="15" spans="1:6" ht="15">
      <c r="A15" s="62">
        <v>7</v>
      </c>
      <c r="B15" s="65" t="s">
        <v>71</v>
      </c>
      <c r="C15" s="74"/>
      <c r="D15" s="74"/>
      <c r="E15" s="74"/>
      <c r="F15" s="74"/>
    </row>
    <row r="16" spans="1:6" ht="15">
      <c r="A16" s="62">
        <v>8</v>
      </c>
      <c r="B16" s="64" t="s">
        <v>35</v>
      </c>
      <c r="C16" s="74"/>
      <c r="D16" s="74"/>
      <c r="E16" s="74"/>
      <c r="F16" s="74"/>
    </row>
    <row r="17" spans="1:6" ht="15">
      <c r="A17" s="62">
        <v>9</v>
      </c>
      <c r="B17" s="65" t="s">
        <v>62</v>
      </c>
      <c r="C17" s="74"/>
      <c r="D17" s="74"/>
      <c r="E17" s="74"/>
      <c r="F17" s="74"/>
    </row>
    <row r="18" spans="1:6" ht="15">
      <c r="A18" s="62">
        <v>10</v>
      </c>
      <c r="B18" s="65" t="s">
        <v>63</v>
      </c>
      <c r="C18" s="74"/>
      <c r="D18" s="74"/>
      <c r="E18" s="74"/>
      <c r="F18" s="74"/>
    </row>
    <row r="19" spans="1:6" ht="15">
      <c r="A19" s="62">
        <v>11</v>
      </c>
      <c r="B19" s="65" t="s">
        <v>64</v>
      </c>
      <c r="C19" s="74"/>
      <c r="D19" s="74"/>
      <c r="E19" s="74"/>
      <c r="F19" s="74"/>
    </row>
    <row r="20" spans="1:6" ht="15">
      <c r="A20" s="62">
        <v>12</v>
      </c>
      <c r="B20" s="65" t="s">
        <v>65</v>
      </c>
      <c r="C20" s="74"/>
      <c r="D20" s="74"/>
      <c r="E20" s="74"/>
      <c r="F20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4">
      <selection activeCell="B9" sqref="B9"/>
    </sheetView>
  </sheetViews>
  <sheetFormatPr defaultColWidth="11.421875" defaultRowHeight="15"/>
  <cols>
    <col min="2" max="2" width="27.57421875" style="0" customWidth="1"/>
    <col min="3" max="3" width="25.28125" style="61" customWidth="1"/>
    <col min="4" max="4" width="24.8515625" style="61" customWidth="1"/>
    <col min="5" max="6" width="14.7109375" style="61" customWidth="1"/>
  </cols>
  <sheetData>
    <row r="1" spans="3:4" ht="15">
      <c r="C1" s="75" t="s">
        <v>80</v>
      </c>
      <c r="D1" s="75" t="s">
        <v>80</v>
      </c>
    </row>
    <row r="2" spans="1:4" ht="23.25">
      <c r="A2" s="70" t="s">
        <v>112</v>
      </c>
      <c r="C2" s="75" t="s">
        <v>81</v>
      </c>
      <c r="D2" s="75" t="s">
        <v>81</v>
      </c>
    </row>
    <row r="3" spans="3:4" ht="15">
      <c r="C3" s="75" t="s">
        <v>82</v>
      </c>
      <c r="D3" s="75"/>
    </row>
    <row r="4" spans="3:6" ht="15">
      <c r="C4" s="68" t="s">
        <v>66</v>
      </c>
      <c r="D4" s="69" t="s">
        <v>67</v>
      </c>
      <c r="E4" s="66" t="s">
        <v>49</v>
      </c>
      <c r="F4" s="67" t="s">
        <v>50</v>
      </c>
    </row>
    <row r="5" spans="1:6" s="1" customFormat="1" ht="16.5">
      <c r="A5" s="11"/>
      <c r="B5" s="7"/>
      <c r="C5" s="5" t="s">
        <v>68</v>
      </c>
      <c r="D5" s="5" t="s">
        <v>68</v>
      </c>
      <c r="E5" s="11"/>
      <c r="F5" s="11"/>
    </row>
    <row r="6" spans="1:6" s="1" customFormat="1" ht="16.5">
      <c r="A6" s="11"/>
      <c r="B6" s="7"/>
      <c r="C6" s="5" t="s">
        <v>86</v>
      </c>
      <c r="D6" s="5" t="s">
        <v>69</v>
      </c>
      <c r="E6" s="11"/>
      <c r="F6" s="11"/>
    </row>
    <row r="7" spans="1:6" s="1" customFormat="1" ht="16.5">
      <c r="A7" s="11"/>
      <c r="B7" s="7"/>
      <c r="C7" s="5" t="s">
        <v>79</v>
      </c>
      <c r="D7" s="4"/>
      <c r="E7" s="11"/>
      <c r="F7" s="11"/>
    </row>
    <row r="8" spans="1:6" s="1" customFormat="1" ht="17.25" customHeight="1">
      <c r="A8" s="62" t="s">
        <v>58</v>
      </c>
      <c r="B8" s="63" t="s">
        <v>59</v>
      </c>
      <c r="C8" s="5"/>
      <c r="D8" s="11"/>
      <c r="E8" s="11"/>
      <c r="F8" s="11"/>
    </row>
    <row r="9" spans="1:6" ht="15">
      <c r="A9" s="62">
        <v>1</v>
      </c>
      <c r="B9" s="65" t="s">
        <v>45</v>
      </c>
      <c r="C9" s="74"/>
      <c r="D9" s="74"/>
      <c r="E9" s="74"/>
      <c r="F9" s="74"/>
    </row>
    <row r="10" spans="1:6" ht="15">
      <c r="A10" s="62">
        <v>2</v>
      </c>
      <c r="B10" s="65" t="s">
        <v>65</v>
      </c>
      <c r="C10" s="74"/>
      <c r="D10" s="74"/>
      <c r="E10" s="74"/>
      <c r="F10" s="74"/>
    </row>
    <row r="11" spans="1:6" ht="15">
      <c r="A11" s="62">
        <v>3</v>
      </c>
      <c r="B11" s="64" t="s">
        <v>20</v>
      </c>
      <c r="C11" s="74"/>
      <c r="D11" s="74"/>
      <c r="E11" s="74"/>
      <c r="F11" s="74"/>
    </row>
    <row r="12" spans="1:6" ht="15">
      <c r="A12" s="62">
        <v>4</v>
      </c>
      <c r="B12" s="64" t="s">
        <v>61</v>
      </c>
      <c r="C12" s="74"/>
      <c r="D12" s="74"/>
      <c r="E12" s="74"/>
      <c r="F12" s="74"/>
    </row>
    <row r="13" spans="1:6" ht="15">
      <c r="A13" s="62">
        <v>5</v>
      </c>
      <c r="B13" s="64" t="s">
        <v>62</v>
      </c>
      <c r="C13" s="74"/>
      <c r="D13" s="74"/>
      <c r="E13" s="74"/>
      <c r="F13" s="74"/>
    </row>
    <row r="14" spans="1:6" ht="15">
      <c r="A14" s="62">
        <v>6</v>
      </c>
      <c r="B14" s="64" t="s">
        <v>3</v>
      </c>
      <c r="C14" s="74"/>
      <c r="D14" s="74"/>
      <c r="E14" s="74"/>
      <c r="F14" s="74"/>
    </row>
    <row r="15" spans="1:6" ht="15">
      <c r="A15" s="62">
        <v>7</v>
      </c>
      <c r="B15" s="64" t="s">
        <v>4</v>
      </c>
      <c r="C15" s="74"/>
      <c r="D15" s="74"/>
      <c r="E15" s="74"/>
      <c r="F15" s="74"/>
    </row>
    <row r="16" spans="1:6" ht="15">
      <c r="A16" s="62">
        <v>8</v>
      </c>
      <c r="B16" s="64" t="s">
        <v>46</v>
      </c>
      <c r="C16" s="74"/>
      <c r="D16" s="74"/>
      <c r="E16" s="74"/>
      <c r="F16" s="74"/>
    </row>
    <row r="17" spans="1:6" ht="15">
      <c r="A17" s="62">
        <v>9</v>
      </c>
      <c r="B17" s="64" t="s">
        <v>21</v>
      </c>
      <c r="C17" s="74"/>
      <c r="D17" s="74"/>
      <c r="E17" s="74"/>
      <c r="F17" s="74"/>
    </row>
    <row r="18" spans="1:6" ht="15">
      <c r="A18" s="62">
        <v>10</v>
      </c>
      <c r="B18" s="64" t="s">
        <v>87</v>
      </c>
      <c r="C18" s="74"/>
      <c r="D18" s="74"/>
      <c r="E18" s="74"/>
      <c r="F18" s="74"/>
    </row>
    <row r="19" spans="1:6" ht="15">
      <c r="A19" s="62">
        <v>11</v>
      </c>
      <c r="B19" s="64" t="s">
        <v>13</v>
      </c>
      <c r="C19" s="74"/>
      <c r="D19" s="74"/>
      <c r="E19" s="74"/>
      <c r="F19" s="74"/>
    </row>
    <row r="20" spans="1:6" ht="15">
      <c r="A20" s="62">
        <v>12</v>
      </c>
      <c r="B20" s="64" t="s">
        <v>14</v>
      </c>
      <c r="C20" s="74"/>
      <c r="D20" s="74"/>
      <c r="E20" s="74"/>
      <c r="F20" s="74"/>
    </row>
    <row r="21" spans="1:6" ht="15">
      <c r="A21" s="62">
        <v>13</v>
      </c>
      <c r="B21" s="64" t="s">
        <v>36</v>
      </c>
      <c r="C21" s="74"/>
      <c r="D21" s="74"/>
      <c r="E21" s="74"/>
      <c r="F21" s="74"/>
    </row>
    <row r="22" spans="1:6" ht="15">
      <c r="A22" s="62">
        <v>14</v>
      </c>
      <c r="B22" s="64" t="s">
        <v>29</v>
      </c>
      <c r="C22" s="74"/>
      <c r="D22" s="74"/>
      <c r="E22" s="74"/>
      <c r="F22" s="74"/>
    </row>
    <row r="23" spans="1:6" ht="15">
      <c r="A23" s="62">
        <v>15</v>
      </c>
      <c r="B23" s="64" t="s">
        <v>31</v>
      </c>
      <c r="C23" s="74"/>
      <c r="D23" s="74"/>
      <c r="E23" s="74"/>
      <c r="F23" s="74"/>
    </row>
    <row r="24" spans="1:6" ht="15">
      <c r="A24" s="62">
        <v>16</v>
      </c>
      <c r="B24" s="64" t="s">
        <v>15</v>
      </c>
      <c r="C24" s="74"/>
      <c r="D24" s="74"/>
      <c r="E24" s="74"/>
      <c r="F24" s="74"/>
    </row>
    <row r="25" spans="1:6" ht="15">
      <c r="A25" s="62">
        <v>17</v>
      </c>
      <c r="B25" s="64" t="s">
        <v>64</v>
      </c>
      <c r="C25" s="74"/>
      <c r="D25" s="74"/>
      <c r="E25" s="74"/>
      <c r="F25" s="74"/>
    </row>
    <row r="26" spans="1:6" ht="15">
      <c r="A26" s="62">
        <v>18</v>
      </c>
      <c r="B26" s="64" t="s">
        <v>27</v>
      </c>
      <c r="C26" s="74"/>
      <c r="D26" s="74"/>
      <c r="E26" s="74"/>
      <c r="F26" s="74"/>
    </row>
    <row r="27" spans="1:6" ht="15">
      <c r="A27" s="62">
        <v>19</v>
      </c>
      <c r="B27" s="64" t="s">
        <v>70</v>
      </c>
      <c r="C27" s="74"/>
      <c r="D27" s="74"/>
      <c r="E27" s="74"/>
      <c r="F27" s="74"/>
    </row>
    <row r="28" spans="1:6" ht="15">
      <c r="A28" s="62">
        <v>20</v>
      </c>
      <c r="B28" s="64" t="s">
        <v>22</v>
      </c>
      <c r="C28" s="74"/>
      <c r="D28" s="74"/>
      <c r="E28" s="74"/>
      <c r="F28" s="74"/>
    </row>
    <row r="29" spans="1:6" ht="15">
      <c r="A29" s="62">
        <v>21</v>
      </c>
      <c r="B29" s="64" t="s">
        <v>35</v>
      </c>
      <c r="C29" s="74"/>
      <c r="D29" s="74"/>
      <c r="E29" s="74"/>
      <c r="F29" s="74"/>
    </row>
    <row r="30" spans="1:6" ht="15">
      <c r="A30" s="62">
        <v>22</v>
      </c>
      <c r="B30" s="64" t="s">
        <v>16</v>
      </c>
      <c r="C30" s="74"/>
      <c r="D30" s="74"/>
      <c r="E30" s="74"/>
      <c r="F30" s="74"/>
    </row>
    <row r="31" spans="1:6" ht="15">
      <c r="A31" s="62">
        <v>23</v>
      </c>
      <c r="B31" s="64" t="s">
        <v>26</v>
      </c>
      <c r="C31" s="74"/>
      <c r="D31" s="74"/>
      <c r="E31" s="74"/>
      <c r="F31" s="74"/>
    </row>
    <row r="32" spans="1:6" ht="15">
      <c r="A32" s="62">
        <v>24</v>
      </c>
      <c r="B32" s="64" t="s">
        <v>71</v>
      </c>
      <c r="C32" s="74"/>
      <c r="D32" s="74"/>
      <c r="E32" s="74"/>
      <c r="F32" s="74"/>
    </row>
    <row r="33" spans="1:6" ht="15">
      <c r="A33" s="62">
        <v>25</v>
      </c>
      <c r="B33" s="64" t="s">
        <v>63</v>
      </c>
      <c r="C33" s="74"/>
      <c r="D33" s="74"/>
      <c r="E33" s="74"/>
      <c r="F33" s="74"/>
    </row>
    <row r="34" spans="1:6" ht="15">
      <c r="A34" s="62">
        <v>26</v>
      </c>
      <c r="B34" s="64" t="s">
        <v>8</v>
      </c>
      <c r="C34" s="74"/>
      <c r="D34" s="74"/>
      <c r="E34" s="74"/>
      <c r="F34" s="74"/>
    </row>
    <row r="35" spans="1:6" ht="15">
      <c r="A35" s="62">
        <v>27</v>
      </c>
      <c r="B35" s="64" t="s">
        <v>18</v>
      </c>
      <c r="C35" s="74"/>
      <c r="D35" s="74"/>
      <c r="E35" s="74"/>
      <c r="F35" s="74"/>
    </row>
    <row r="36" spans="1:6" ht="15">
      <c r="A36" s="62">
        <v>28</v>
      </c>
      <c r="B36" s="64" t="s">
        <v>28</v>
      </c>
      <c r="C36" s="74"/>
      <c r="D36" s="74"/>
      <c r="E36" s="74"/>
      <c r="F36" s="74"/>
    </row>
    <row r="37" spans="1:6" ht="15">
      <c r="A37" s="62">
        <v>29</v>
      </c>
      <c r="B37" s="64" t="s">
        <v>9</v>
      </c>
      <c r="C37" s="74"/>
      <c r="D37" s="74"/>
      <c r="E37" s="74"/>
      <c r="F37" s="74"/>
    </row>
    <row r="38" spans="1:6" ht="15">
      <c r="A38" s="62">
        <v>30</v>
      </c>
      <c r="B38" s="64" t="s">
        <v>10</v>
      </c>
      <c r="C38" s="74"/>
      <c r="D38" s="74"/>
      <c r="E38" s="74"/>
      <c r="F38" s="74"/>
    </row>
    <row r="39" spans="1:6" ht="15">
      <c r="A39" s="62">
        <v>31</v>
      </c>
      <c r="B39" s="64" t="s">
        <v>19</v>
      </c>
      <c r="C39" s="74"/>
      <c r="D39" s="74"/>
      <c r="E39" s="74"/>
      <c r="F39" s="74"/>
    </row>
    <row r="40" spans="1:6" ht="15">
      <c r="A40" s="62">
        <v>32</v>
      </c>
      <c r="B40" s="64" t="s">
        <v>72</v>
      </c>
      <c r="C40" s="74"/>
      <c r="D40" s="74"/>
      <c r="E40" s="74"/>
      <c r="F40" s="74"/>
    </row>
    <row r="41" spans="1:6" ht="15">
      <c r="A41" s="62">
        <v>33</v>
      </c>
      <c r="B41" s="64" t="s">
        <v>37</v>
      </c>
      <c r="C41" s="74"/>
      <c r="D41" s="74"/>
      <c r="E41" s="74"/>
      <c r="F41" s="74"/>
    </row>
    <row r="42" spans="1:6" ht="15">
      <c r="A42" s="62">
        <v>34</v>
      </c>
      <c r="B42" s="64" t="s">
        <v>73</v>
      </c>
      <c r="C42" s="74"/>
      <c r="D42" s="74"/>
      <c r="E42" s="74"/>
      <c r="F42" s="74"/>
    </row>
    <row r="43" spans="1:6" ht="15">
      <c r="A43" s="62">
        <v>35</v>
      </c>
      <c r="B43" s="64" t="s">
        <v>5</v>
      </c>
      <c r="C43" s="74"/>
      <c r="D43" s="74"/>
      <c r="E43" s="74"/>
      <c r="F43" s="74"/>
    </row>
    <row r="44" spans="1:6" ht="15">
      <c r="A44" s="62">
        <v>36</v>
      </c>
      <c r="B44" s="64" t="s">
        <v>17</v>
      </c>
      <c r="C44" s="74"/>
      <c r="D44" s="74"/>
      <c r="E44" s="74"/>
      <c r="F44" s="74"/>
    </row>
    <row r="45" spans="1:6" ht="15">
      <c r="A45" s="62">
        <v>37</v>
      </c>
      <c r="B45" s="64" t="s">
        <v>74</v>
      </c>
      <c r="C45" s="74"/>
      <c r="D45" s="74"/>
      <c r="E45" s="74"/>
      <c r="F45" s="74"/>
    </row>
    <row r="46" spans="1:6" ht="15">
      <c r="A46" s="62">
        <v>38</v>
      </c>
      <c r="B46" s="64" t="s">
        <v>11</v>
      </c>
      <c r="C46" s="74"/>
      <c r="D46" s="74"/>
      <c r="E46" s="74"/>
      <c r="F46" s="74"/>
    </row>
    <row r="47" spans="1:6" ht="15">
      <c r="A47" s="62">
        <v>39</v>
      </c>
      <c r="B47" s="64" t="s">
        <v>75</v>
      </c>
      <c r="C47" s="74"/>
      <c r="D47" s="74"/>
      <c r="E47" s="74"/>
      <c r="F47" s="74"/>
    </row>
    <row r="48" spans="1:6" ht="15">
      <c r="A48" s="62">
        <v>40</v>
      </c>
      <c r="B48" s="64" t="s">
        <v>24</v>
      </c>
      <c r="C48" s="74"/>
      <c r="D48" s="74"/>
      <c r="E48" s="74"/>
      <c r="F4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7"/>
  <sheetViews>
    <sheetView zoomScale="130" zoomScaleNormal="130" zoomScalePageLayoutView="0" workbookViewId="0" topLeftCell="A8">
      <selection activeCell="B12" sqref="B12"/>
    </sheetView>
  </sheetViews>
  <sheetFormatPr defaultColWidth="11.421875" defaultRowHeight="15"/>
  <cols>
    <col min="1" max="1" width="5.57421875" style="1" customWidth="1"/>
    <col min="2" max="2" width="18.8515625" style="1" customWidth="1"/>
    <col min="3" max="3" width="2.8515625" style="4" customWidth="1"/>
    <col min="4" max="4" width="3.8515625" style="4" customWidth="1"/>
    <col min="5" max="5" width="10.421875" style="4" customWidth="1"/>
    <col min="6" max="6" width="10.140625" style="4" customWidth="1"/>
    <col min="7" max="7" width="3.28125" style="5" customWidth="1"/>
    <col min="8" max="8" width="10.140625" style="4" customWidth="1"/>
    <col min="9" max="9" width="6.8515625" style="5" customWidth="1"/>
    <col min="10" max="10" width="8.140625" style="4" customWidth="1"/>
    <col min="11" max="11" width="10.140625" style="4" customWidth="1"/>
    <col min="12" max="12" width="3.57421875" style="5" customWidth="1"/>
    <col min="13" max="13" width="10.140625" style="4" customWidth="1"/>
    <col min="14" max="14" width="6.57421875" style="4" customWidth="1"/>
    <col min="15" max="16384" width="11.421875" style="1" customWidth="1"/>
  </cols>
  <sheetData>
    <row r="1" spans="1:14" ht="26.25" thickBot="1">
      <c r="A1" s="76" t="s">
        <v>0</v>
      </c>
      <c r="B1" s="77"/>
      <c r="C1" s="78"/>
      <c r="D1" s="78"/>
      <c r="E1" s="78"/>
      <c r="F1" s="77"/>
      <c r="G1" s="79"/>
      <c r="H1" s="78"/>
      <c r="I1" s="77"/>
      <c r="J1" s="146" t="str">
        <f>Etablissement</f>
        <v>CIUSSS de la Capitale-Nationale</v>
      </c>
      <c r="K1" s="146"/>
      <c r="L1" s="146"/>
      <c r="M1" s="146"/>
      <c r="N1" s="1"/>
    </row>
    <row r="2" spans="1:14" ht="15" customHeight="1" thickTop="1">
      <c r="A2" s="80"/>
      <c r="B2" s="81"/>
      <c r="C2" s="82"/>
      <c r="D2" s="82"/>
      <c r="E2" s="82"/>
      <c r="F2" s="82"/>
      <c r="G2" s="83"/>
      <c r="H2" s="82"/>
      <c r="I2" s="83"/>
      <c r="J2" s="82"/>
      <c r="K2" s="82"/>
      <c r="L2" s="83"/>
      <c r="M2" s="82"/>
      <c r="N2" s="1"/>
    </row>
    <row r="3" spans="1:13" s="7" customFormat="1" ht="16.5">
      <c r="A3" s="84" t="s">
        <v>1</v>
      </c>
      <c r="B3" s="85"/>
      <c r="C3" s="150">
        <f>IF(date="","",date)</f>
      </c>
      <c r="D3" s="150"/>
      <c r="E3" s="150"/>
      <c r="F3" s="150"/>
      <c r="G3" s="150"/>
      <c r="H3" s="86"/>
      <c r="I3" s="84" t="s">
        <v>32</v>
      </c>
      <c r="J3" s="85"/>
      <c r="K3" s="151">
        <f>IF(duree="","",duree)</f>
      </c>
      <c r="L3" s="151"/>
      <c r="M3" s="151"/>
    </row>
    <row r="4" spans="1:13" s="7" customFormat="1" ht="12" customHeight="1">
      <c r="A4" s="87"/>
      <c r="B4" s="88"/>
      <c r="C4" s="89"/>
      <c r="D4" s="90"/>
      <c r="E4" s="90"/>
      <c r="F4" s="86"/>
      <c r="G4" s="91"/>
      <c r="H4" s="86"/>
      <c r="I4" s="92"/>
      <c r="J4" s="88"/>
      <c r="K4" s="89"/>
      <c r="L4" s="93"/>
      <c r="M4" s="89"/>
    </row>
    <row r="5" spans="1:13" s="7" customFormat="1" ht="24" customHeight="1">
      <c r="A5" s="84" t="s">
        <v>2</v>
      </c>
      <c r="B5" s="85"/>
      <c r="C5" s="149">
        <f>IF(Nom_usager="","",Nom_usager)</f>
      </c>
      <c r="D5" s="149"/>
      <c r="E5" s="149"/>
      <c r="F5" s="149"/>
      <c r="G5" s="149"/>
      <c r="H5" s="86"/>
      <c r="I5" s="84" t="s">
        <v>41</v>
      </c>
      <c r="J5" s="94"/>
      <c r="K5" s="94"/>
      <c r="L5" s="148">
        <f>IF(ddn="","",ddn)</f>
      </c>
      <c r="M5" s="148"/>
    </row>
    <row r="6" spans="1:13" s="7" customFormat="1" ht="24" customHeight="1">
      <c r="A6" s="87"/>
      <c r="B6" s="88"/>
      <c r="C6" s="95"/>
      <c r="D6" s="95"/>
      <c r="E6" s="95"/>
      <c r="F6" s="91"/>
      <c r="G6" s="86"/>
      <c r="H6" s="86"/>
      <c r="I6" s="84" t="s">
        <v>42</v>
      </c>
      <c r="J6" s="94"/>
      <c r="K6" s="151">
        <f>IF(sexe="","",sexe)</f>
      </c>
      <c r="L6" s="151"/>
      <c r="M6" s="151"/>
    </row>
    <row r="7" spans="1:13" s="7" customFormat="1" ht="24" customHeight="1">
      <c r="A7" s="84" t="s">
        <v>43</v>
      </c>
      <c r="B7" s="85"/>
      <c r="C7" s="149">
        <f>IF(Programme="","",Programme)</f>
      </c>
      <c r="D7" s="149"/>
      <c r="E7" s="149"/>
      <c r="F7" s="149"/>
      <c r="G7" s="149"/>
      <c r="H7" s="86"/>
      <c r="I7" s="96" t="s">
        <v>44</v>
      </c>
      <c r="J7" s="97"/>
      <c r="K7" s="152">
        <f>IF(nodossier="","",nodossier)</f>
      </c>
      <c r="L7" s="152"/>
      <c r="M7" s="152"/>
    </row>
    <row r="8" spans="1:47" s="3" customFormat="1" ht="31.5" customHeight="1">
      <c r="A8" s="27"/>
      <c r="B8" s="27"/>
      <c r="C8" s="60"/>
      <c r="D8" s="71"/>
      <c r="E8" s="6"/>
      <c r="F8" s="6"/>
      <c r="G8" s="12"/>
      <c r="H8" s="6"/>
      <c r="I8" s="36"/>
      <c r="J8" s="30"/>
      <c r="K8" s="30"/>
      <c r="L8" s="36"/>
      <c r="M8" s="30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1:47" s="19" customFormat="1" ht="16.5">
      <c r="A9" s="27"/>
      <c r="B9" s="27"/>
      <c r="C9" s="60"/>
      <c r="D9" s="71"/>
      <c r="E9" s="20"/>
      <c r="F9" s="147" t="s">
        <v>40</v>
      </c>
      <c r="G9" s="147"/>
      <c r="H9" s="147"/>
      <c r="I9" s="36"/>
      <c r="J9" s="20"/>
      <c r="K9" s="147" t="s">
        <v>38</v>
      </c>
      <c r="L9" s="147"/>
      <c r="M9" s="14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6" s="3" customFormat="1" ht="33">
      <c r="A10" s="2"/>
      <c r="B10" s="2"/>
      <c r="D10" s="52"/>
      <c r="E10" s="2" t="s">
        <v>33</v>
      </c>
      <c r="F10" s="2" t="s">
        <v>39</v>
      </c>
      <c r="G10" s="14"/>
      <c r="H10" s="2" t="s">
        <v>47</v>
      </c>
      <c r="I10" s="73"/>
      <c r="J10" s="2" t="s">
        <v>48</v>
      </c>
      <c r="K10" s="2" t="s">
        <v>39</v>
      </c>
      <c r="L10" s="14"/>
      <c r="M10" s="2" t="s">
        <v>47</v>
      </c>
      <c r="N10" s="28"/>
      <c r="O10" s="28"/>
      <c r="P10" s="28"/>
      <c r="Q10" s="52"/>
      <c r="R10" s="52"/>
      <c r="S10" s="5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9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ht="16.5">
      <c r="A11" s="7" t="s">
        <v>51</v>
      </c>
      <c r="B11" s="27"/>
      <c r="C11" s="27"/>
      <c r="D11" s="52"/>
      <c r="E11" s="109"/>
      <c r="F11" s="109"/>
      <c r="G11" s="110"/>
      <c r="H11" s="109"/>
      <c r="I11" s="110"/>
      <c r="J11" s="109"/>
      <c r="K11" s="109"/>
      <c r="L11" s="110"/>
      <c r="M11" s="109"/>
      <c r="N11" s="27"/>
      <c r="O11" s="27"/>
      <c r="P11" s="27"/>
      <c r="Q11" s="52"/>
      <c r="R11" s="52"/>
      <c r="S11" s="52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0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ht="16.5">
      <c r="A12" s="27">
        <v>1</v>
      </c>
      <c r="B12" s="27" t="s">
        <v>20</v>
      </c>
      <c r="C12" s="27"/>
      <c r="D12" s="52"/>
      <c r="E12" s="111">
        <f>IF(BadPra="o","Oui",(IF(BadPra="N","Non",(IF(BadPra="i","incapable","")))))</f>
      </c>
      <c r="F12" s="111" t="str">
        <f>IF(OR(BadPra="o",BadPra="n"),IF(BadCap="","-",BadCap),"-")</f>
        <v>-</v>
      </c>
      <c r="G12" s="112"/>
      <c r="H12" s="111" t="str">
        <f>IF(OR(BadPra="o",BadPra="n"),IF(BadCrainte="","-",BadCrainte),"-")</f>
        <v>-</v>
      </c>
      <c r="I12" s="113"/>
      <c r="J12" s="111">
        <f>IF(BadKinap="o","Oui",(IF(BadKinap="N","Non",(IF(BadKinap="i","incapable","")))))</f>
      </c>
      <c r="K12" s="111" t="str">
        <f>IF(AND(BadKinap="o",BadPra="o"),IF(BadCap="","-",BadCap),"-")</f>
        <v>-</v>
      </c>
      <c r="L12" s="113"/>
      <c r="M12" s="111" t="str">
        <f>IF(AND(BadKinap="o",BadPra="o"),IF(BadCrainte="","-",BadCrainte),"-")</f>
        <v>-</v>
      </c>
      <c r="N12" s="1"/>
      <c r="P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31"/>
      <c r="AI12" s="32"/>
      <c r="AJ12" s="32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ht="16.5">
      <c r="A13" s="27">
        <v>6</v>
      </c>
      <c r="B13" s="27" t="s">
        <v>61</v>
      </c>
      <c r="C13" s="27"/>
      <c r="D13" s="52"/>
      <c r="E13" s="111">
        <f>IF(BasePra="o","Oui",(IF(BasePra="N","Non",(IF(BasePra="i","incapable","")))))</f>
      </c>
      <c r="F13" s="111" t="str">
        <f>IF(OR(BasePra="o",BasePra="n"),IF(BaseCap="","-",BaseCap),"-")</f>
        <v>-</v>
      </c>
      <c r="G13" s="113"/>
      <c r="H13" s="111" t="str">
        <f>IF(OR(BasePra="o",BasePra="n"),IF(BaseCrainte="","-",BaseCrainte),"-")</f>
        <v>-</v>
      </c>
      <c r="I13" s="113"/>
      <c r="J13" s="111">
        <f>IF(BaseKinap="o","Oui",(IF(BaseKinap="N","Non",(IF(BaseKinap="i","incapable","")))))</f>
      </c>
      <c r="K13" s="111" t="str">
        <f>IF(AND(BaseKinap="o",BasePra="o"),IF(BaseCap="","-",BaseCap),"-")</f>
        <v>-</v>
      </c>
      <c r="L13" s="113"/>
      <c r="M13" s="111" t="str">
        <f>IF(AND(BaseKinap="o",BasePra="o"),IF(BaseCrainte="","-",BaseCrainte),"-")</f>
        <v>-</v>
      </c>
      <c r="N13" s="1"/>
      <c r="P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31"/>
      <c r="AI13" s="32"/>
      <c r="AJ13" s="32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ht="16.5">
      <c r="A14" s="27">
        <v>9</v>
      </c>
      <c r="B14" s="27" t="s">
        <v>62</v>
      </c>
      <c r="C14" s="27"/>
      <c r="D14" s="52"/>
      <c r="E14" s="111">
        <f>IF(BaskPra="o","Oui",(IF(BaskPra="N","Non",(IF(BaskPra="i","incapable","")))))</f>
      </c>
      <c r="F14" s="111" t="str">
        <f>IF(OR(BaskPra="o",BaskPra="n"),IF(BaskCap="","-",BaskCap),"-")</f>
        <v>-</v>
      </c>
      <c r="G14" s="113"/>
      <c r="H14" s="111" t="str">
        <f>IF(OR(BaskPra="o",BaskPra="n"),IF(BaskCrainte="","-",BaskCrainte),"-")</f>
        <v>-</v>
      </c>
      <c r="I14" s="113"/>
      <c r="J14" s="111">
        <f>IF(BaskKinap="o","Oui",(IF(BaskKinap="N","Non",(IF(BaskKinap="i","incapable","")))))</f>
      </c>
      <c r="K14" s="111" t="str">
        <f>IF(AND(BaskKinap="o",BaskPra="o"),IF(BaskCap="","-",BaskCap),"-")</f>
        <v>-</v>
      </c>
      <c r="L14" s="113"/>
      <c r="M14" s="111" t="str">
        <f>IF(AND(BaskKinap="o",BaskPra="o"),IF(BaskCrainte="","-",BaskCrainte),"-")</f>
        <v>-</v>
      </c>
      <c r="N14" s="1"/>
      <c r="P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31"/>
      <c r="AI14" s="32"/>
      <c r="AJ14" s="32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ht="16.5">
      <c r="A15" s="27">
        <v>5</v>
      </c>
      <c r="B15" s="27" t="s">
        <v>46</v>
      </c>
      <c r="C15" s="27"/>
      <c r="D15" s="52"/>
      <c r="E15" s="111">
        <f>IF(EllPra="o","Oui",(IF(EllPra="N","Non",(IF(EllPra="i","incapable","")))))</f>
      </c>
      <c r="F15" s="111" t="str">
        <f>IF(OR(EllPra="o",EllPra="n"),IF(EllCap="","-",EllCap),"-")</f>
        <v>-</v>
      </c>
      <c r="G15" s="113"/>
      <c r="H15" s="111" t="str">
        <f>IF(OR(EllPra="o",EllPra="n"),IF(EllCrainte="","-",EllCrainte),"-")</f>
        <v>-</v>
      </c>
      <c r="I15" s="113"/>
      <c r="J15" s="111">
        <f>IF(EllKinap="o","Oui",(IF(EllKinap="N","Non",(IF(EllKinap="i","incapable","")))))</f>
      </c>
      <c r="K15" s="111" t="str">
        <f>IF(AND(EllKinap="o",EllPra="o"),IF(EllCap="","-",EllCap),"-")</f>
        <v>-</v>
      </c>
      <c r="L15" s="113"/>
      <c r="M15" s="111" t="str">
        <f>IF(AND(EllKinap="o",EllPra="o"),IF(EllCrainte="","-",EllCrainte),"-")</f>
        <v>-</v>
      </c>
      <c r="N15" s="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31"/>
      <c r="AI15" s="32"/>
      <c r="AJ15" s="32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ht="16.5">
      <c r="A16" s="27">
        <v>10</v>
      </c>
      <c r="B16" s="27" t="s">
        <v>34</v>
      </c>
      <c r="C16" s="27"/>
      <c r="D16" s="52"/>
      <c r="E16" s="111">
        <f>IF(QuiPra="o","Oui",(IF(QuiPra="N","Non",(IF(QuiPra="i","incapable","")))))</f>
      </c>
      <c r="F16" s="111" t="str">
        <f>IF(OR(QuiPra="o",QuiPra="n"),IF(QuiCap="","-",QuiCap),"-")</f>
        <v>-</v>
      </c>
      <c r="G16" s="113"/>
      <c r="H16" s="111" t="str">
        <f>IF(OR(QuiPra="o",QuiPra="n"),IF(QuiCrainte="","-",QuiCrainte),"-")</f>
        <v>-</v>
      </c>
      <c r="I16" s="113"/>
      <c r="J16" s="111">
        <f>IF(QuiKinap="o","Oui",(IF(QuiKinap="N","Non",(IF(QuiKinap="i","incapable","")))))</f>
      </c>
      <c r="K16" s="111" t="str">
        <f>IF(AND(QuiKinap="o",QuiPra="o"),IF(QuiCap="","-",QuiCap),"-")</f>
        <v>-</v>
      </c>
      <c r="L16" s="113"/>
      <c r="M16" s="111" t="str">
        <f>IF(AND(QuiKinap="o",QuiPra="o"),IF(QuiCrainte="","-",QuiCrainte),"-")</f>
        <v>-</v>
      </c>
      <c r="N16" s="27"/>
      <c r="R16" s="52"/>
      <c r="S16" s="52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31"/>
      <c r="AI16" s="32"/>
      <c r="AJ16" s="32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ht="16.5">
      <c r="A17" s="27"/>
      <c r="B17" s="27"/>
      <c r="C17" s="27"/>
      <c r="D17" s="52"/>
      <c r="E17" s="114"/>
      <c r="F17" s="114"/>
      <c r="G17" s="115"/>
      <c r="H17" s="114"/>
      <c r="I17" s="115"/>
      <c r="J17" s="114"/>
      <c r="K17" s="114"/>
      <c r="L17" s="115"/>
      <c r="M17" s="114"/>
      <c r="N17" s="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31"/>
      <c r="AI17" s="32"/>
      <c r="AJ17" s="32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ht="16.5">
      <c r="A18" s="7" t="s">
        <v>52</v>
      </c>
      <c r="B18" s="27"/>
      <c r="C18" s="27"/>
      <c r="D18" s="52"/>
      <c r="E18" s="114"/>
      <c r="F18" s="114"/>
      <c r="G18" s="115"/>
      <c r="H18" s="114"/>
      <c r="I18" s="115"/>
      <c r="J18" s="114"/>
      <c r="K18" s="114"/>
      <c r="L18" s="115"/>
      <c r="M18" s="114"/>
      <c r="N18" s="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31"/>
      <c r="AI18" s="32"/>
      <c r="AJ18" s="32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46" ht="16.5">
      <c r="A19" s="27">
        <v>2</v>
      </c>
      <c r="B19" s="27" t="s">
        <v>10</v>
      </c>
      <c r="C19" s="27"/>
      <c r="D19" s="52"/>
      <c r="E19" s="111">
        <f>IF(EscPra="o","Oui",(IF(EscPra="N","Non",(IF(EscPra="i","incapable","")))))</f>
      </c>
      <c r="F19" s="111" t="str">
        <f>IF(OR(EscPra="o",EscPra="n"),IF(EscCap="","-",EscCap),"-")</f>
        <v>-</v>
      </c>
      <c r="G19" s="113"/>
      <c r="H19" s="111" t="str">
        <f>IF(OR(EscPra="o",EscPra="n"),IF(EscCrainte="","-",EscCrainte),"-")</f>
        <v>-</v>
      </c>
      <c r="I19" s="113"/>
      <c r="J19" s="111">
        <f>IF(EscKinap="o","Oui",(IF(EscKinap="N","Non",(IF(EscKinap="i","incapable","")))))</f>
      </c>
      <c r="K19" s="111" t="str">
        <f>IF(AND(EscKinap="o",EscPra="o"),IF(EscCap="","-",EscCap),"-")</f>
        <v>-</v>
      </c>
      <c r="L19" s="113"/>
      <c r="M19" s="111" t="str">
        <f>IF(AND(EscKinap="o",EscPra="o"),IF(EscCrainte="","-",EscCrainte),"-")</f>
        <v>-</v>
      </c>
      <c r="N19" s="1"/>
      <c r="Q19" s="4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31"/>
      <c r="AI19" s="32"/>
      <c r="AJ19" s="32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1:46" ht="16.5">
      <c r="A20" s="27">
        <v>11</v>
      </c>
      <c r="B20" s="27" t="s">
        <v>30</v>
      </c>
      <c r="C20" s="27"/>
      <c r="D20" s="52"/>
      <c r="E20" s="111">
        <f>IF(MarPra="o","Oui",(IF(MarPra="N","Non",(IF(MarPra="i","incapable","")))))</f>
      </c>
      <c r="F20" s="111" t="str">
        <f>IF(OR(MarPra="o",MarPra="n"),IF(MarCap="","-",MarCap),"-")</f>
        <v>-</v>
      </c>
      <c r="G20" s="113"/>
      <c r="H20" s="111" t="str">
        <f>IF(OR(MarPra="o",MarPra="n"),IF(MarCrainte="","-",MarCrainte),"-")</f>
        <v>-</v>
      </c>
      <c r="I20" s="113"/>
      <c r="J20" s="111">
        <f>IF(MarKinap="o","Oui",(IF(MarKinap="N","Non",(IF(MarKinap="i","incapable","")))))</f>
      </c>
      <c r="K20" s="111" t="str">
        <f>IF(AND(MarKinap="o",MarPra="o"),IF(MarCap="","-",MarCap),"-")</f>
        <v>-</v>
      </c>
      <c r="L20" s="113"/>
      <c r="M20" s="111" t="str">
        <f>IF(AND(MarKinap="o",MarPra="o"),IF(MarCrainte="","-",MarCrainte),"-")</f>
        <v>-</v>
      </c>
      <c r="N20" s="1"/>
      <c r="Q20" s="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31"/>
      <c r="AI20" s="32"/>
      <c r="AJ20" s="32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ht="16.5">
      <c r="A21" s="27">
        <v>3</v>
      </c>
      <c r="B21" s="27" t="s">
        <v>11</v>
      </c>
      <c r="C21" s="27"/>
      <c r="D21" s="52"/>
      <c r="E21" s="111">
        <f>IF(VeloPra="o","Oui",(IF(VeloPra="N","Non",(IF(VeloPra="i","incapable","")))))</f>
      </c>
      <c r="F21" s="111" t="str">
        <f>IF(OR(VeloPra="o",VeloPra="n"),IF(VeloCap="","-",VeloCap),"-")</f>
        <v>-</v>
      </c>
      <c r="G21" s="113"/>
      <c r="H21" s="111" t="str">
        <f>IF(OR(VeloPra="o",VeloPra="n"),IF(VeloCrainte="","-",VeloCrainte),"-")</f>
        <v>-</v>
      </c>
      <c r="I21" s="113"/>
      <c r="J21" s="111">
        <f>IF(VeloKinap="o","Oui",(IF(VeloKinap="N","Non",(IF(VeloKinap="i","incapable","")))))</f>
      </c>
      <c r="K21" s="111" t="str">
        <f>IF(AND(VeloKinap="o",VeloPra="o"),IF(VeloCap="","-",VeloCap),"-")</f>
        <v>-</v>
      </c>
      <c r="L21" s="113"/>
      <c r="M21" s="111" t="str">
        <f>IF(AND(VeloKinap="o",VeloPra="o"),IF(VeloCrainte="","-",VeloCrainte),"-")</f>
        <v>-</v>
      </c>
      <c r="N21" s="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31"/>
      <c r="AI21" s="32"/>
      <c r="AJ21" s="32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ht="16.5">
      <c r="A22" s="27"/>
      <c r="B22" s="27"/>
      <c r="C22" s="27"/>
      <c r="D22" s="52"/>
      <c r="E22" s="114"/>
      <c r="F22" s="114"/>
      <c r="G22" s="115"/>
      <c r="H22" s="114"/>
      <c r="I22" s="115"/>
      <c r="J22" s="114"/>
      <c r="K22" s="114"/>
      <c r="L22" s="115"/>
      <c r="M22" s="114"/>
      <c r="N22" s="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31"/>
      <c r="AI22" s="32"/>
      <c r="AJ22" s="32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ht="16.5">
      <c r="A23" s="7" t="s">
        <v>53</v>
      </c>
      <c r="B23" s="27"/>
      <c r="C23" s="27"/>
      <c r="D23" s="52"/>
      <c r="E23" s="114"/>
      <c r="F23" s="114"/>
      <c r="G23" s="115"/>
      <c r="H23" s="114"/>
      <c r="I23" s="115"/>
      <c r="J23" s="114"/>
      <c r="K23" s="114"/>
      <c r="L23" s="115"/>
      <c r="M23" s="114"/>
      <c r="N23" s="1"/>
      <c r="Q23" s="4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31"/>
      <c r="AI23" s="32"/>
      <c r="AJ23" s="32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ht="16.5">
      <c r="A24" s="27">
        <v>12</v>
      </c>
      <c r="B24" s="27" t="s">
        <v>6</v>
      </c>
      <c r="C24" s="27"/>
      <c r="D24" s="52"/>
      <c r="E24" s="111">
        <f>IF(AquaPra="o","Oui",(IF(AquaPra="N","Non",(IF(AquaPra="i","incapable","")))))</f>
      </c>
      <c r="F24" s="111" t="str">
        <f>IF(OR(AquaPra="o",AquaPra="n"),IF(AquaCap="","-",AquaCap),"-")</f>
        <v>-</v>
      </c>
      <c r="G24" s="113"/>
      <c r="H24" s="111" t="str">
        <f>IF(OR(AquaPra="o",AquaPra="n"),IF(AquaCrainte="","-",AquaCrainte),"-")</f>
        <v>-</v>
      </c>
      <c r="I24" s="113"/>
      <c r="J24" s="111">
        <f>IF(AquaKinap="o","Oui",(IF(AquaKinap="N","Non",(IF(AquaKinap="i","incapable","")))))</f>
      </c>
      <c r="K24" s="111" t="str">
        <f>IF(AND(AquaKinap="o",AquaPra="o"),IF(AquaCap="","-",AquaCap),"-")</f>
        <v>-</v>
      </c>
      <c r="L24" s="113"/>
      <c r="M24" s="111" t="str">
        <f>IF(AND(AquaKinap="o",AquaPra="o"),IF(AquaCrainte="","-",AquaCrainte),"-")</f>
        <v>-</v>
      </c>
      <c r="N24" s="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31"/>
      <c r="AI24" s="32"/>
      <c r="AJ24" s="32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ht="16.5">
      <c r="A25" s="27">
        <v>7</v>
      </c>
      <c r="B25" s="27" t="s">
        <v>12</v>
      </c>
      <c r="C25" s="27"/>
      <c r="D25" s="52"/>
      <c r="E25" s="111">
        <f>IF(PushPra="o","Oui",(IF(PushPra="N","Non",(IF(PushPra="i","incapable","")))))</f>
      </c>
      <c r="F25" s="111" t="str">
        <f>IF(OR(PushPra="o",PushPra="n"),IF(PushCap="","-",PushCap),"-")</f>
        <v>-</v>
      </c>
      <c r="G25" s="113"/>
      <c r="H25" s="111" t="str">
        <f>IF(OR(PushPra="o",PushPra="n"),IF(PushCrainte="","-",PushCrainte),"-")</f>
        <v>-</v>
      </c>
      <c r="I25" s="113"/>
      <c r="J25" s="111">
        <f>IF(PushKinap="o","Oui",(IF(PushKinap="N","Non",(IF(PushKinap="i","incapable","")))))</f>
      </c>
      <c r="K25" s="111" t="str">
        <f>IF(AND(PushKinap="o",PushPra="o"),IF(PushCap="","-",PushCap),"-")</f>
        <v>-</v>
      </c>
      <c r="L25" s="113"/>
      <c r="M25" s="111" t="str">
        <f>IF(AND(PushKinap="o",PushPra="o"),IF(PushCrainte="","-",PushCrainte),"-")</f>
        <v>-</v>
      </c>
      <c r="N25" s="1"/>
      <c r="Q25" s="4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31"/>
      <c r="AI25" s="32"/>
      <c r="AJ25" s="32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ht="16.5">
      <c r="A26" s="27">
        <v>8</v>
      </c>
      <c r="B26" s="27" t="s">
        <v>35</v>
      </c>
      <c r="C26" s="27"/>
      <c r="D26" s="52"/>
      <c r="E26" s="111">
        <f>IF(PechPra="o","Oui",(IF(PechPra="N","Non",(IF(PechPra="i","incapable","")))))</f>
      </c>
      <c r="F26" s="111" t="str">
        <f>IF(OR(PechPra="o",PechPra="n"),IF(pechCap="","-",pechCap),"-")</f>
        <v>-</v>
      </c>
      <c r="G26" s="113"/>
      <c r="H26" s="111" t="str">
        <f>IF(OR(PechPra="o",PechPra="n"),IF(PechCrainte="","-",PechCrainte),"-")</f>
        <v>-</v>
      </c>
      <c r="I26" s="113"/>
      <c r="J26" s="111">
        <f>IF(PechKinap="o","Oui",(IF(PechKinap="N","Non",(IF(PechKinap="i","incapable","")))))</f>
      </c>
      <c r="K26" s="111" t="str">
        <f>IF(AND(PechKinap="o",PechPra="o"),IF(pechCap="","-",pechCap),"-")</f>
        <v>-</v>
      </c>
      <c r="L26" s="113"/>
      <c r="M26" s="111" t="str">
        <f>IF(AND(PechKinap="o",PechPra="o"),IF(PechCrainte="","-",PechCrainte),"-")</f>
        <v>-</v>
      </c>
      <c r="N26" s="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31"/>
      <c r="AI26" s="32"/>
      <c r="AJ26" s="32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ht="16.5">
      <c r="A27" s="27"/>
      <c r="B27" s="27"/>
      <c r="C27" s="27"/>
      <c r="D27" s="52"/>
      <c r="E27" s="111"/>
      <c r="F27" s="111"/>
      <c r="G27" s="113"/>
      <c r="H27" s="111"/>
      <c r="I27" s="113"/>
      <c r="J27" s="111"/>
      <c r="K27" s="111"/>
      <c r="L27" s="113"/>
      <c r="M27" s="111"/>
      <c r="N27" s="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31"/>
      <c r="AI27" s="32"/>
      <c r="AJ27" s="32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ht="16.5">
      <c r="A28" s="7" t="s">
        <v>55</v>
      </c>
      <c r="B28" s="27"/>
      <c r="C28" s="27"/>
      <c r="D28" s="52"/>
      <c r="E28" s="114"/>
      <c r="F28" s="114"/>
      <c r="G28" s="115"/>
      <c r="H28" s="114"/>
      <c r="I28" s="115"/>
      <c r="J28" s="114"/>
      <c r="K28" s="114"/>
      <c r="L28" s="115"/>
      <c r="M28" s="114"/>
      <c r="N28" s="1"/>
      <c r="Q28" s="4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31"/>
      <c r="AI28" s="32"/>
      <c r="AJ28" s="32"/>
      <c r="AK28" s="27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1:46" ht="16.5">
      <c r="A29" s="27">
        <v>4</v>
      </c>
      <c r="B29" s="27" t="s">
        <v>45</v>
      </c>
      <c r="C29" s="27"/>
      <c r="D29" s="52"/>
      <c r="E29" s="111">
        <f>IF(AbdoPra="o","Oui",(IF(AbdoPra="N","Non",(IF(AbdoPra="i","incapable","")))))</f>
      </c>
      <c r="F29" s="111" t="str">
        <f>IF(OR(AbdoPra="o",AbdoPra="n"),IF(AbdoCap="","-",AbdoCap),"-")</f>
        <v>-</v>
      </c>
      <c r="G29" s="113"/>
      <c r="H29" s="111" t="str">
        <f>IF(OR(AbdoPra="o",AbdoPra="n"),IF(AbdoCrainte="","-",AbdoCrainte),"-")</f>
        <v>-</v>
      </c>
      <c r="I29" s="113"/>
      <c r="J29" s="111">
        <f>IF(AbdoKinap="o","Oui",(IF(AbdoKinap="N","Non",(IF(AbdoKinap="i","incapable","")))))</f>
      </c>
      <c r="K29" s="111" t="str">
        <f>IF(AND(AbdoKinap="o",AbdoPra="o"),IF(AbdoCap="","-",AbdoCap),"-")</f>
        <v>-</v>
      </c>
      <c r="L29" s="113"/>
      <c r="M29" s="111" t="str">
        <f>IF(AND(AbdoKinap="o",AbdoPra="o"),IF(AbdoCrainte="","-",AbdoCrainte),"-")</f>
        <v>-</v>
      </c>
      <c r="N29" s="49"/>
      <c r="O29" s="49"/>
      <c r="P29" s="49"/>
      <c r="Q29" s="49"/>
      <c r="R29" s="4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31"/>
      <c r="AI29" s="32"/>
      <c r="AJ29" s="32"/>
      <c r="AK29" s="27"/>
      <c r="AL29" s="27"/>
      <c r="AM29" s="27"/>
      <c r="AN29" s="27"/>
      <c r="AO29" s="27"/>
      <c r="AP29" s="27"/>
      <c r="AQ29" s="27"/>
      <c r="AR29" s="27"/>
      <c r="AS29" s="27"/>
      <c r="AT29" s="27"/>
    </row>
    <row r="30" spans="1:47" ht="16.5">
      <c r="A30" s="27"/>
      <c r="B30" s="27"/>
      <c r="C30" s="30"/>
      <c r="D30" s="71"/>
      <c r="E30" s="109"/>
      <c r="F30" s="109"/>
      <c r="G30" s="110"/>
      <c r="H30" s="109"/>
      <c r="I30" s="116"/>
      <c r="J30" s="109"/>
      <c r="K30" s="109"/>
      <c r="L30" s="110"/>
      <c r="M30" s="109"/>
      <c r="N30" s="52"/>
      <c r="O30" s="49"/>
      <c r="P30" s="49"/>
      <c r="Q30" s="52"/>
      <c r="R30" s="52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9" s="15" customFormat="1" ht="18">
      <c r="A31" s="44" t="s">
        <v>25</v>
      </c>
      <c r="B31" s="33"/>
      <c r="C31" s="42"/>
      <c r="D31" s="54"/>
      <c r="E31" s="117"/>
      <c r="F31" s="118" t="str">
        <f>IF(ISERROR(AVERAGE(F12:F16,F19:F21,F24:F26,F29)),"--",AVERAGE(F12:F16,F19:F21,F24:F26,F29))</f>
        <v>--</v>
      </c>
      <c r="G31" s="117"/>
      <c r="H31" s="118" t="str">
        <f>IF(ISERROR(AVERAGE(H12:H16,H19:H21,H24:H26,H29)),"--",AVERAGE(H12:H16,H19:H21,H24:H26,H29))</f>
        <v>--</v>
      </c>
      <c r="I31" s="119"/>
      <c r="J31" s="117"/>
      <c r="K31" s="118" t="str">
        <f>IF(ISERROR(AVERAGE(K12:K16,K19:K21,K24:K26,K29)),"--",AVERAGE(K12:K16,K19:K21,K24:K26,K29))</f>
        <v>--</v>
      </c>
      <c r="L31" s="117"/>
      <c r="M31" s="118" t="str">
        <f>IF(ISERROR(AVERAGE(M12:M16,M19:M21,M24:M26,M29)),"--",AVERAGE(M12:M16,M19:M21,M24:M26,M29))</f>
        <v>--</v>
      </c>
      <c r="N31" s="34"/>
      <c r="O31" s="35"/>
      <c r="P31" s="35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5"/>
      <c r="AW31" s="35"/>
    </row>
    <row r="32" spans="1:47" ht="16.5">
      <c r="A32" s="27"/>
      <c r="B32" s="27"/>
      <c r="C32" s="30"/>
      <c r="D32" s="71"/>
      <c r="E32" s="30"/>
      <c r="F32" s="27"/>
      <c r="G32" s="36"/>
      <c r="H32" s="27"/>
      <c r="I32" s="53"/>
      <c r="J32" s="55"/>
      <c r="K32" s="55"/>
      <c r="L32" s="53"/>
      <c r="M32" s="55"/>
      <c r="N32" s="52"/>
      <c r="O32" s="49"/>
      <c r="P32" s="49"/>
      <c r="Q32" s="52"/>
      <c r="R32" s="52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ht="16.5">
      <c r="A33" s="27"/>
      <c r="B33" s="27"/>
      <c r="C33" s="30"/>
      <c r="D33" s="30"/>
      <c r="E33" s="30"/>
      <c r="F33" s="30"/>
      <c r="G33" s="36"/>
      <c r="H33" s="30"/>
      <c r="I33" s="53"/>
      <c r="J33" s="55"/>
      <c r="K33" s="55"/>
      <c r="L33" s="53"/>
      <c r="M33" s="55"/>
      <c r="N33" s="52"/>
      <c r="O33" s="49"/>
      <c r="P33" s="49"/>
      <c r="Q33" s="52"/>
      <c r="R33" s="52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9:47" ht="16.5">
      <c r="I34" s="56"/>
      <c r="J34" s="55"/>
      <c r="K34" s="55"/>
      <c r="L34" s="53"/>
      <c r="M34" s="55"/>
      <c r="N34" s="52"/>
      <c r="O34" s="49"/>
      <c r="P34" s="49"/>
      <c r="Q34" s="52"/>
      <c r="R34" s="52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4:47" ht="16.5">
      <c r="D35" s="1"/>
      <c r="J35" s="30"/>
      <c r="K35" s="30"/>
      <c r="L35" s="36"/>
      <c r="M35" s="30"/>
      <c r="N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4:47" ht="16.5">
      <c r="D36" s="1"/>
      <c r="E36" s="41"/>
      <c r="F36" s="39"/>
      <c r="G36" s="40"/>
      <c r="H36" s="39"/>
      <c r="I36" s="40"/>
      <c r="J36" s="39"/>
      <c r="K36" s="39"/>
      <c r="L36" s="40"/>
      <c r="M36" s="39"/>
      <c r="N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4:47" ht="16.5">
      <c r="D37" s="1"/>
      <c r="E37" s="41"/>
      <c r="F37" s="39"/>
      <c r="G37" s="40"/>
      <c r="H37" s="39"/>
      <c r="I37" s="40"/>
      <c r="J37" s="39"/>
      <c r="K37" s="39"/>
      <c r="L37" s="40"/>
      <c r="M37" s="39"/>
      <c r="N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</sheetData>
  <sheetProtection/>
  <mergeCells count="10">
    <mergeCell ref="J1:M1"/>
    <mergeCell ref="F9:H9"/>
    <mergeCell ref="K9:M9"/>
    <mergeCell ref="L5:M5"/>
    <mergeCell ref="C5:G5"/>
    <mergeCell ref="C7:G7"/>
    <mergeCell ref="C3:G3"/>
    <mergeCell ref="K3:M3"/>
    <mergeCell ref="K6:M6"/>
    <mergeCell ref="K7:M7"/>
  </mergeCells>
  <conditionalFormatting sqref="H12:H16 H19:H21 H24:H26 H29 M12:M16 M19:M21 M24:M26 M29">
    <cfRule type="cellIs" priority="6" dxfId="3" operator="between">
      <formula>30</formula>
      <formula>49</formula>
    </cfRule>
  </conditionalFormatting>
  <conditionalFormatting sqref="H12:H16 H19:H21 H24:H26 H29 M12:M16 M19:M21 M24:M26 M29">
    <cfRule type="cellIs" priority="5" dxfId="2" operator="between">
      <formula>50</formula>
      <formula>69</formula>
    </cfRule>
  </conditionalFormatting>
  <conditionalFormatting sqref="H12:H16 H19:H21 H24:H26 H29 M12:M16 M19:M21 M24:M26 M29">
    <cfRule type="cellIs" priority="4" dxfId="1" operator="between">
      <formula>70</formula>
      <formula>100</formula>
    </cfRule>
  </conditionalFormatting>
  <conditionalFormatting sqref="H12:H16 H19:H21 H24:H26 H29 M12:M16 M19:M21 M24:M26 M29">
    <cfRule type="cellIs" priority="1" dxfId="0" operator="between">
      <formula>0</formula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="130" zoomScaleNormal="130" zoomScalePageLayoutView="0" workbookViewId="0" topLeftCell="A9">
      <selection activeCell="F19" sqref="F19"/>
    </sheetView>
  </sheetViews>
  <sheetFormatPr defaultColWidth="11.421875" defaultRowHeight="15"/>
  <cols>
    <col min="1" max="1" width="5.57421875" style="1" customWidth="1"/>
    <col min="2" max="2" width="18.8515625" style="1" customWidth="1"/>
    <col min="3" max="3" width="2.8515625" style="4" customWidth="1"/>
    <col min="4" max="4" width="2.57421875" style="4" customWidth="1"/>
    <col min="5" max="5" width="10.421875" style="4" customWidth="1"/>
    <col min="6" max="6" width="10.140625" style="4" customWidth="1"/>
    <col min="7" max="7" width="3.28125" style="5" customWidth="1"/>
    <col min="8" max="8" width="10.140625" style="4" customWidth="1"/>
    <col min="9" max="9" width="2.140625" style="5" customWidth="1"/>
    <col min="10" max="10" width="8.140625" style="4" customWidth="1"/>
    <col min="11" max="11" width="13.28125" style="4" customWidth="1"/>
    <col min="12" max="12" width="3.57421875" style="5" customWidth="1"/>
    <col min="13" max="13" width="10.140625" style="4" customWidth="1"/>
    <col min="14" max="14" width="38.57421875" style="1" customWidth="1"/>
    <col min="15" max="15" width="22.421875" style="1" customWidth="1"/>
    <col min="16" max="24" width="62.421875" style="1" customWidth="1"/>
    <col min="25" max="16384" width="11.421875" style="1" customWidth="1"/>
  </cols>
  <sheetData>
    <row r="1" spans="1:24" ht="25.5">
      <c r="A1" s="80" t="s">
        <v>0</v>
      </c>
      <c r="B1" s="81"/>
      <c r="C1" s="82"/>
      <c r="D1" s="82"/>
      <c r="E1" s="82"/>
      <c r="F1" s="98"/>
      <c r="G1" s="83"/>
      <c r="H1" s="82"/>
      <c r="I1" s="98"/>
      <c r="J1" s="153" t="str">
        <f>Etablissement</f>
        <v>CIUSSS de la Capitale-Nationale</v>
      </c>
      <c r="K1" s="153"/>
      <c r="L1" s="153"/>
      <c r="M1" s="153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" customHeight="1">
      <c r="A2" s="80"/>
      <c r="B2" s="81"/>
      <c r="C2" s="82"/>
      <c r="D2" s="82"/>
      <c r="E2" s="82"/>
      <c r="F2" s="82"/>
      <c r="G2" s="83"/>
      <c r="H2" s="82"/>
      <c r="I2" s="83"/>
      <c r="J2" s="82"/>
      <c r="K2" s="82"/>
      <c r="L2" s="83"/>
      <c r="M2" s="82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7" customFormat="1" ht="16.5">
      <c r="A3" s="84" t="s">
        <v>1</v>
      </c>
      <c r="B3" s="85"/>
      <c r="C3" s="154">
        <f>IF(date="","",date)</f>
      </c>
      <c r="D3" s="154"/>
      <c r="E3" s="154"/>
      <c r="F3" s="154"/>
      <c r="G3" s="154"/>
      <c r="H3" s="86"/>
      <c r="I3" s="84" t="s">
        <v>32</v>
      </c>
      <c r="J3" s="85"/>
      <c r="K3" s="151">
        <f>IF(duree="","",duree)</f>
      </c>
      <c r="L3" s="151"/>
      <c r="M3" s="151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s="7" customFormat="1" ht="12" customHeight="1">
      <c r="A4" s="87"/>
      <c r="B4" s="88"/>
      <c r="C4" s="89"/>
      <c r="D4" s="90"/>
      <c r="E4" s="90"/>
      <c r="F4" s="86"/>
      <c r="G4" s="91"/>
      <c r="H4" s="86"/>
      <c r="I4" s="92"/>
      <c r="J4" s="88"/>
      <c r="K4" s="89"/>
      <c r="L4" s="93"/>
      <c r="M4" s="89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s="7" customFormat="1" ht="24" customHeight="1">
      <c r="A5" s="84" t="s">
        <v>2</v>
      </c>
      <c r="B5" s="85"/>
      <c r="C5" s="149">
        <f>IF(Nom_usager="","",Nom_usager)</f>
      </c>
      <c r="D5" s="149"/>
      <c r="E5" s="149"/>
      <c r="F5" s="149"/>
      <c r="G5" s="149"/>
      <c r="H5" s="86"/>
      <c r="I5" s="84" t="s">
        <v>41</v>
      </c>
      <c r="J5" s="94"/>
      <c r="K5" s="94"/>
      <c r="L5" s="148">
        <f>IF(ddn="","",ddn)</f>
      </c>
      <c r="M5" s="148"/>
      <c r="N5" s="57"/>
      <c r="O5" s="57"/>
      <c r="S5" s="57"/>
      <c r="T5" s="57"/>
      <c r="U5" s="57"/>
      <c r="V5" s="57"/>
      <c r="W5" s="57"/>
      <c r="X5" s="57"/>
    </row>
    <row r="6" spans="1:24" s="7" customFormat="1" ht="24" customHeight="1">
      <c r="A6" s="87"/>
      <c r="B6" s="88"/>
      <c r="C6" s="95"/>
      <c r="D6" s="95"/>
      <c r="E6" s="95"/>
      <c r="F6" s="91"/>
      <c r="G6" s="86"/>
      <c r="H6" s="86"/>
      <c r="I6" s="84" t="s">
        <v>42</v>
      </c>
      <c r="J6" s="94"/>
      <c r="K6" s="151">
        <f>IF(sexe="","",sexe)</f>
      </c>
      <c r="L6" s="151"/>
      <c r="M6" s="151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s="7" customFormat="1" ht="24" customHeight="1">
      <c r="A7" s="84" t="s">
        <v>43</v>
      </c>
      <c r="B7" s="85"/>
      <c r="C7" s="149">
        <f>IF(Programme="","",Programme)</f>
      </c>
      <c r="D7" s="149"/>
      <c r="E7" s="149"/>
      <c r="F7" s="149"/>
      <c r="G7" s="149"/>
      <c r="H7" s="86"/>
      <c r="I7" s="96" t="s">
        <v>44</v>
      </c>
      <c r="J7" s="97"/>
      <c r="K7" s="152">
        <f>IF(nodossier="","",nodossier)</f>
      </c>
      <c r="L7" s="152"/>
      <c r="M7" s="152"/>
      <c r="N7" s="57"/>
      <c r="T7" s="57"/>
      <c r="U7" s="57"/>
      <c r="V7" s="57"/>
      <c r="W7" s="57"/>
      <c r="X7" s="57"/>
    </row>
    <row r="8" spans="1:24" s="3" customFormat="1" ht="48" customHeight="1">
      <c r="A8" s="27"/>
      <c r="B8" s="27"/>
      <c r="C8" s="60"/>
      <c r="D8" s="72"/>
      <c r="E8" s="6"/>
      <c r="F8" s="6"/>
      <c r="G8" s="12"/>
      <c r="H8" s="6"/>
      <c r="I8" s="36"/>
      <c r="J8" s="60"/>
      <c r="K8" s="60"/>
      <c r="L8" s="36"/>
      <c r="M8" s="60"/>
      <c r="N8" s="57">
        <f>IF(Programme="","","")</f>
      </c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s="19" customFormat="1" ht="16.5">
      <c r="A9" s="27"/>
      <c r="B9" s="27"/>
      <c r="C9" s="60"/>
      <c r="D9" s="72"/>
      <c r="E9" s="20"/>
      <c r="F9" s="147" t="s">
        <v>40</v>
      </c>
      <c r="G9" s="147"/>
      <c r="H9" s="147"/>
      <c r="I9" s="36"/>
      <c r="J9" s="20"/>
      <c r="K9" s="147" t="s">
        <v>38</v>
      </c>
      <c r="L9" s="147"/>
      <c r="M9" s="14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s="3" customFormat="1" ht="33">
      <c r="A10" s="2"/>
      <c r="B10" s="2"/>
      <c r="D10" s="52"/>
      <c r="E10" s="2" t="s">
        <v>33</v>
      </c>
      <c r="F10" s="2" t="s">
        <v>39</v>
      </c>
      <c r="G10" s="14"/>
      <c r="H10" s="2" t="s">
        <v>47</v>
      </c>
      <c r="I10" s="73"/>
      <c r="J10" s="2" t="s">
        <v>48</v>
      </c>
      <c r="K10" s="2" t="s">
        <v>39</v>
      </c>
      <c r="L10" s="14"/>
      <c r="M10" s="2" t="s">
        <v>47</v>
      </c>
      <c r="N10" s="57"/>
      <c r="O10" s="57"/>
      <c r="T10" s="57"/>
      <c r="U10" s="57"/>
      <c r="V10" s="57"/>
      <c r="W10" s="57"/>
      <c r="X10" s="57"/>
    </row>
    <row r="11" spans="1:24" ht="16.5">
      <c r="A11" s="7" t="s">
        <v>51</v>
      </c>
      <c r="E11" s="114"/>
      <c r="F11" s="114"/>
      <c r="G11" s="115"/>
      <c r="H11" s="114"/>
      <c r="I11" s="120"/>
      <c r="J11" s="121"/>
      <c r="K11" s="121"/>
      <c r="L11" s="120"/>
      <c r="M11" s="121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16.5">
      <c r="A12" s="1">
        <v>3</v>
      </c>
      <c r="B12" s="1" t="s">
        <v>20</v>
      </c>
      <c r="D12" s="13"/>
      <c r="E12" s="111">
        <f>IF(badm1="o","Oui",(IF(badm1="N","Non",(IF(badm1="i","incapable","")))))</f>
      </c>
      <c r="F12" s="111" t="str">
        <f>IF(OR(badm1="o",badm1="n"),IF(badm3="","-",badm3),"-")</f>
        <v>-</v>
      </c>
      <c r="G12" s="113"/>
      <c r="H12" s="111" t="str">
        <f>IF(OR(badm1="o",badm1="n"),IF(badm4="","-",badm4),"-")</f>
        <v>-</v>
      </c>
      <c r="I12" s="113"/>
      <c r="J12" s="111">
        <f>IF(badm2="o","Oui",(IF(badm2="N","Non",(IF(badm2="i","incapable","")))))</f>
      </c>
      <c r="K12" s="111" t="str">
        <f>IF(AND(badm1="o",badm2="o"),IF(badm3="","-",badm3),"-")</f>
        <v>-</v>
      </c>
      <c r="L12" s="113"/>
      <c r="M12" s="111" t="str">
        <f>IF(AND(badm1="o",badm2="o"),IF(badm4="","-",badm4),"-")</f>
        <v>-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16.5">
      <c r="A13" s="1">
        <v>4</v>
      </c>
      <c r="B13" s="27" t="s">
        <v>61</v>
      </c>
      <c r="D13" s="13"/>
      <c r="E13" s="111">
        <f>IF(base1="o","Oui",(IF(base1="N","Non",(IF(base1="i","incapable","")))))</f>
      </c>
      <c r="F13" s="111" t="str">
        <f>IF(OR(base1="o",base1="n"),IF(base3="","-",base3),"-")</f>
        <v>-</v>
      </c>
      <c r="G13" s="113"/>
      <c r="H13" s="111" t="str">
        <f>IF(OR(base1="o",base1="n"),IF(base4="","-",base4),"-")</f>
        <v>-</v>
      </c>
      <c r="I13" s="113"/>
      <c r="J13" s="111">
        <f>IF(base2="o","Oui",(IF(base2="N","Non",(IF(base2="i","incapable","")))))</f>
      </c>
      <c r="K13" s="111" t="str">
        <f>IF(AND(base1="o",base2="o"),IF(base3="","-",base3),"-")</f>
        <v>-</v>
      </c>
      <c r="L13" s="113"/>
      <c r="M13" s="111" t="str">
        <f>IF(AND(base1="o",base2="o"),IF(base4="","-",base4),"-")</f>
        <v>-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16.5">
      <c r="A14" s="1">
        <v>5</v>
      </c>
      <c r="B14" s="27" t="s">
        <v>62</v>
      </c>
      <c r="D14" s="13"/>
      <c r="E14" s="111">
        <f>IF(bask1="o","Oui",(IF(bask1="N","Non",(IF(bask1="i","incapable","")))))</f>
      </c>
      <c r="F14" s="111" t="str">
        <f>IF(OR(bask1="o",bask1="n"),IF(bask3="","-",bask3),"-")</f>
        <v>-</v>
      </c>
      <c r="G14" s="113"/>
      <c r="H14" s="111" t="str">
        <f>IF(OR(bask1="o",bask1="n"),IF(bask4="","-",bask4),"-")</f>
        <v>-</v>
      </c>
      <c r="I14" s="113"/>
      <c r="J14" s="111">
        <f>IF(bask2="o","Oui",(IF(bask2="N","Non",(IF(bask2="i","incapable","")))))</f>
      </c>
      <c r="K14" s="111" t="str">
        <f>IF(AND(bask1="o",bask2="o"),IF(bask3="","-",bask3),"-")</f>
        <v>-</v>
      </c>
      <c r="L14" s="113"/>
      <c r="M14" s="111" t="str">
        <f>IF(AND(bask1="o",bask2="o"),IF(bask4="","-",bask4),"-")</f>
        <v>-</v>
      </c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6.5">
      <c r="A15" s="1">
        <v>8</v>
      </c>
      <c r="B15" s="1" t="s">
        <v>46</v>
      </c>
      <c r="D15" s="13"/>
      <c r="E15" s="111">
        <f>IF(elli1="o","Oui",(IF(elli1="N","Non",(IF(elli1="i","incapable","")))))</f>
      </c>
      <c r="F15" s="111" t="str">
        <f>IF(OR(elli1="o",elli1="n"),IF(elli3="","-",elli3),"-")</f>
        <v>-</v>
      </c>
      <c r="G15" s="113"/>
      <c r="H15" s="111" t="str">
        <f>IF(OR(elli1="o",elli1="n"),IF(elli4="","-",elli4),"-")</f>
        <v>-</v>
      </c>
      <c r="I15" s="113"/>
      <c r="J15" s="111">
        <f>IF(elli2="o","Oui",(IF(elli2="N","Non",(IF(elli2="i","incapable","")))))</f>
      </c>
      <c r="K15" s="111" t="str">
        <f>IF(AND(elli1="o",elli2="o"),IF(elli3="","-",elli3),"-")</f>
        <v>-</v>
      </c>
      <c r="L15" s="113"/>
      <c r="M15" s="111" t="str">
        <f>IF(AND(elli1="o",elli2="o"),IF(elli4="","-",elli4),"-")</f>
        <v>-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6.5">
      <c r="A16" s="1">
        <v>9</v>
      </c>
      <c r="B16" s="1" t="s">
        <v>21</v>
      </c>
      <c r="D16" s="13"/>
      <c r="E16" s="111">
        <f>IF(escalade1="o","Oui",(IF(escalade1="N","Non",(IF(escalade1="i","incapable","")))))</f>
      </c>
      <c r="F16" s="111" t="str">
        <f>IF(OR(escalade1="o",escalade1="n"),IF(escalade3="","-",escalade3),"-")</f>
        <v>-</v>
      </c>
      <c r="G16" s="113"/>
      <c r="H16" s="111" t="str">
        <f>IF(OR(escalade1="o",escalade1="n"),IF(escalade4="","-",escalade4),"-")</f>
        <v>-</v>
      </c>
      <c r="I16" s="113"/>
      <c r="J16" s="111">
        <f>IF(escalade2="o","Oui",(IF(escalade2="N","Non",(IF(escalade2="i","incapable","")))))</f>
      </c>
      <c r="K16" s="111" t="str">
        <f>IF(AND(escalade1="o",escalade2="o"),IF(escalade3="","-",escalade3),"-")</f>
        <v>-</v>
      </c>
      <c r="L16" s="113"/>
      <c r="M16" s="111" t="str">
        <f>IF(AND(escalade1="o",escalade2="o"),IF(escalade4="","-",escalade4),"-")</f>
        <v>-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ht="16.5">
      <c r="A17" s="1">
        <v>15</v>
      </c>
      <c r="B17" s="1" t="s">
        <v>31</v>
      </c>
      <c r="D17" s="13"/>
      <c r="E17" s="111">
        <f>IF(golf1="o","Oui",(IF(golf1="N","Non",(IF(golf1="i","incapable","")))))</f>
      </c>
      <c r="F17" s="111" t="str">
        <f>IF(OR(golf1="o",golf1="n"),IF(golf3="","-",golf3),"-")</f>
        <v>-</v>
      </c>
      <c r="G17" s="113"/>
      <c r="H17" s="111" t="str">
        <f>IF(OR(golf1="o",golf1="n"),IF(golf4="","-",golf4),"-")</f>
        <v>-</v>
      </c>
      <c r="I17" s="113"/>
      <c r="J17" s="111">
        <f>IF(golf2="o","Oui",(IF(golf2="N","Non",(IF(golf2="i","incapable","")))))</f>
      </c>
      <c r="K17" s="111" t="str">
        <f>IF(AND(golf1="o",golf2="o"),IF(golf3="","-",golf3),"-")</f>
        <v>-</v>
      </c>
      <c r="L17" s="113"/>
      <c r="M17" s="111" t="str">
        <f>IF(AND(golf1="o",golf2="o"),IF(golf4="","-",golf4),"-")</f>
        <v>-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6.5">
      <c r="A18" s="1">
        <v>25</v>
      </c>
      <c r="B18" s="1" t="s">
        <v>34</v>
      </c>
      <c r="D18" s="13"/>
      <c r="E18" s="111">
        <f>IF(quil1="o","Oui",(IF(quil1="N","Non",(IF(quil1="i","incapable","")))))</f>
      </c>
      <c r="F18" s="111" t="str">
        <f>IF(OR(quil1="o",quil1="n"),IF(quil3="","-",quil3),"-")</f>
        <v>-</v>
      </c>
      <c r="G18" s="113"/>
      <c r="H18" s="111" t="str">
        <f>IF(OR(quil1="o",quil1="n"),IF(quil4="","-",quil4),"-")</f>
        <v>-</v>
      </c>
      <c r="I18" s="113"/>
      <c r="J18" s="111">
        <f>IF(quil2="o","Oui",(IF(quil2="N","Non",(IF(quil2="i","incapable","")))))</f>
      </c>
      <c r="K18" s="111" t="str">
        <f>IF(AND(quil1="o",quil2="o"),IF(quil3="","-",quil3),"-")</f>
        <v>-</v>
      </c>
      <c r="L18" s="113"/>
      <c r="M18" s="111" t="str">
        <f>IF(AND(quil1="o",quil2="o"),IF(quil4="","-",quil4),"-")</f>
        <v>-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6.5">
      <c r="A19" s="1">
        <v>26</v>
      </c>
      <c r="B19" s="1" t="s">
        <v>8</v>
      </c>
      <c r="D19" s="13"/>
      <c r="E19" s="111">
        <f>IF(rame1="o","Oui",(IF(rame1="N","Non",(IF(rame1="i","incapable","")))))</f>
      </c>
      <c r="F19" s="111" t="str">
        <f>IF(OR(rame1="o",rame1="n"),IF(rame3="","-",rame3),"-")</f>
        <v>-</v>
      </c>
      <c r="G19" s="113"/>
      <c r="H19" s="111" t="str">
        <f>IF(OR(rame1="o",rame1="n"),IF(rame4="","-",rame4),"-")</f>
        <v>-</v>
      </c>
      <c r="I19" s="113"/>
      <c r="J19" s="111">
        <f>IF(rame2="o","Oui",(IF(rame2="N","Non",(IF(rame2="i","incapable","")))))</f>
      </c>
      <c r="K19" s="111" t="str">
        <f>IF(AND(rame1="o",rame2="o"),IF(rame3="","-",rame3),"-")</f>
        <v>-</v>
      </c>
      <c r="L19" s="113"/>
      <c r="M19" s="111" t="str">
        <f>IF(AND(rame1="o",rame2="o"),IF(rame4="","-",rame4),"-")</f>
        <v>-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16.5">
      <c r="A20" s="1">
        <v>31</v>
      </c>
      <c r="B20" s="49" t="s">
        <v>19</v>
      </c>
      <c r="C20" s="50"/>
      <c r="D20" s="51"/>
      <c r="E20" s="111">
        <f>IF(skif1="o","Oui",(IF(skif1="N","Non",(IF(skif1="i","incapable","")))))</f>
      </c>
      <c r="F20" s="111" t="str">
        <f>IF(OR(skif1="o",skif1="n"),IF(skif3="","-",skif3),"-")</f>
        <v>-</v>
      </c>
      <c r="G20" s="113"/>
      <c r="H20" s="111" t="str">
        <f>IF(OR(skif1="o",skif1="n"),IF(skif4="","-",skif4),"-")</f>
        <v>-</v>
      </c>
      <c r="I20" s="113"/>
      <c r="J20" s="111">
        <f>IF(skif2="o","Oui",(IF(skif2="N","Non",(IF(skif2="i","incapable","")))))</f>
      </c>
      <c r="K20" s="111" t="str">
        <f>IF(AND(skif1="o",skif2="o"),IF(skif3="","-",skif3),"-")</f>
        <v>-</v>
      </c>
      <c r="L20" s="113"/>
      <c r="M20" s="111" t="str">
        <f>IF(AND(skif1="o",skif2="o"),IF(skif4="","-",skif4),"-")</f>
        <v>-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s="8" customFormat="1" ht="16.5">
      <c r="A21" s="1">
        <v>34</v>
      </c>
      <c r="B21" s="1" t="s">
        <v>23</v>
      </c>
      <c r="C21" s="4"/>
      <c r="D21" s="13"/>
      <c r="E21" s="111">
        <f>IF(tennis1="o","Oui",(IF(tennis1="N","Non",(IF(tennis1="i","incapable","")))))</f>
      </c>
      <c r="F21" s="111" t="str">
        <f>IF(OR(tennis1="o",tennis1="n"),IF(tennis3="","-",tennis3),"-")</f>
        <v>-</v>
      </c>
      <c r="G21" s="113"/>
      <c r="H21" s="111" t="str">
        <f>IF(OR(tennis1="o",tennis1="n"),IF(tennis4="","-",tennis4),"-")</f>
        <v>-</v>
      </c>
      <c r="I21" s="113"/>
      <c r="J21" s="111">
        <f>IF(tennis2="o","Oui",(IF(tennis2="N","Non",(IF(tennis2="i","incapable","")))))</f>
      </c>
      <c r="K21" s="111" t="str">
        <f>IF(AND(tennis1="o",tennis2="o"),IF(tennis3="","-",tennis3),"-")</f>
        <v>-</v>
      </c>
      <c r="L21" s="113"/>
      <c r="M21" s="111" t="str">
        <f>IF(AND(tennis1="o",tennis2="o"),IF(tennis4="","-",tennis4),"-")</f>
        <v>-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ht="16.5">
      <c r="A22" s="1">
        <v>33</v>
      </c>
      <c r="B22" s="1" t="s">
        <v>37</v>
      </c>
      <c r="D22" s="13"/>
      <c r="E22" s="111">
        <f>IF(tentab1="o","Oui",(IF(tentab1="N","Non",(IF(tentab1="i","incapable","")))))</f>
      </c>
      <c r="F22" s="111" t="str">
        <f>IF(OR(tentab1="o",tentab1="n"),IF(tentab3="","-",tentab3),"-")</f>
        <v>-</v>
      </c>
      <c r="G22" s="113"/>
      <c r="H22" s="111" t="str">
        <f>IF(OR(tentab1="o",tentab1="n"),IF(tentab4="","-",tentab4),"-")</f>
        <v>-</v>
      </c>
      <c r="I22" s="113"/>
      <c r="J22" s="111">
        <f>IF(tentab2="o","Oui",(IF(tentab2="N","Non",(IF(tentab2="i","incapable","")))))</f>
      </c>
      <c r="K22" s="111" t="str">
        <f>IF(AND(tentab1="o",tentab2="o"),IF(tentab3="","-",tentab3),"-")</f>
        <v>-</v>
      </c>
      <c r="L22" s="113"/>
      <c r="M22" s="111" t="str">
        <f>IF(AND(tentab1="o",tentab2="o"),IF(tentab4="","-",tentab4),"-")</f>
        <v>-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ht="16.5">
      <c r="A23" s="1">
        <v>40</v>
      </c>
      <c r="B23" s="1" t="s">
        <v>24</v>
      </c>
      <c r="D23" s="13"/>
      <c r="E23" s="111">
        <f>IF(volley1="o","Oui",(IF(volley1="N","Non",(IF(volley1="i","incapable","")))))</f>
      </c>
      <c r="F23" s="111" t="str">
        <f>IF(OR(volley1="o",volley1="n"),IF(volley3="","-",volley3),"-")</f>
        <v>-</v>
      </c>
      <c r="G23" s="113"/>
      <c r="H23" s="111" t="str">
        <f>IF(OR(volley1="o",volley1="n"),IF(volley4="","-",volley4),"-")</f>
        <v>-</v>
      </c>
      <c r="I23" s="113"/>
      <c r="J23" s="111">
        <f>IF(volley2="o","Oui",(IF(volley2="N","Non",(IF(volley2="i","incapable","")))))</f>
      </c>
      <c r="K23" s="111" t="str">
        <f>IF(AND(volley1="o",volley2="o"),IF(volley3="","-",volley3),"-")</f>
        <v>-</v>
      </c>
      <c r="L23" s="113"/>
      <c r="M23" s="111" t="str">
        <f>IF(AND(volley1="o",volley2="o"),IF(volley4="","-",volley4),"-")</f>
        <v>-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6.5">
      <c r="A24" s="8"/>
      <c r="B24" s="16" t="s">
        <v>57</v>
      </c>
      <c r="C24" s="17"/>
      <c r="D24" s="18"/>
      <c r="E24" s="122"/>
      <c r="F24" s="122" t="str">
        <f>IF(ISERROR(AVERAGE(F12:F23)),"-",AVERAGE(F12:F23))</f>
        <v>-</v>
      </c>
      <c r="G24" s="123"/>
      <c r="H24" s="122" t="str">
        <f>IF(ISERROR(AVERAGE(H12:H23)),"-",AVERAGE(H12:H23))</f>
        <v>-</v>
      </c>
      <c r="I24" s="124"/>
      <c r="J24" s="122"/>
      <c r="K24" s="122" t="str">
        <f>IF(ISERROR(AVERAGE(K12:K23)),"--",AVERAGE(K12:K23))</f>
        <v>--</v>
      </c>
      <c r="L24" s="122"/>
      <c r="M24" s="122" t="str">
        <f>IF(ISERROR(AVERAGE(M12:M23)),"--",AVERAGE(M12:M23))</f>
        <v>--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4:24" ht="16.5">
      <c r="D25" s="13"/>
      <c r="E25" s="125"/>
      <c r="F25" s="114"/>
      <c r="G25" s="115"/>
      <c r="H25" s="114"/>
      <c r="I25" s="120"/>
      <c r="J25" s="126"/>
      <c r="K25" s="127"/>
      <c r="L25" s="128"/>
      <c r="M25" s="121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6.5">
      <c r="A26" s="7" t="s">
        <v>52</v>
      </c>
      <c r="D26" s="13"/>
      <c r="E26" s="125"/>
      <c r="F26" s="114"/>
      <c r="G26" s="115"/>
      <c r="H26" s="114"/>
      <c r="I26" s="120"/>
      <c r="J26" s="126"/>
      <c r="K26" s="127"/>
      <c r="L26" s="128"/>
      <c r="M26" s="121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16.5">
      <c r="A27" s="1">
        <v>39</v>
      </c>
      <c r="B27" s="49" t="s">
        <v>76</v>
      </c>
      <c r="C27" s="50"/>
      <c r="D27" s="51"/>
      <c r="E27" s="111">
        <f>IF(velo1="o","Oui",(IF(velo1="N","Non",(IF(velo1="i","incapable","")))))</f>
      </c>
      <c r="F27" s="111" t="str">
        <f>IF(OR(velo1="o",velo1="n"),IF(velo3="","-",velo3),"-")</f>
        <v>-</v>
      </c>
      <c r="G27" s="113"/>
      <c r="H27" s="111" t="str">
        <f>IF(OR(velo1="o",velo1="n"),IF(velo4="","-",velo4),"-")</f>
        <v>-</v>
      </c>
      <c r="I27" s="113"/>
      <c r="J27" s="111">
        <f>IF(velo2="o","Oui",(IF(velo2="N","Non",(IF(velo2="i","incapable","")))))</f>
      </c>
      <c r="K27" s="111" t="str">
        <f>IF(AND(velo1="o",velo2="o"),IF(velo3="","-",velo3),"-")</f>
        <v>-</v>
      </c>
      <c r="L27" s="113"/>
      <c r="M27" s="111" t="str">
        <f>IF(AND(velo1="o",velo2="o"),IF(velo4="","-",velo4),"-")</f>
        <v>-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6.5">
      <c r="A28" s="1">
        <v>10</v>
      </c>
      <c r="B28" s="49" t="s">
        <v>87</v>
      </c>
      <c r="C28" s="50"/>
      <c r="D28" s="51"/>
      <c r="E28" s="111">
        <f>IF(escalier1="o","Oui",(IF(escalier1="N","Non",(IF(escalier1="i","incapable","")))))</f>
      </c>
      <c r="F28" s="111" t="str">
        <f>IF(OR(escalier1="o",escalier1="n"),IF(escalier3="","-",escalier3),"-")</f>
        <v>-</v>
      </c>
      <c r="G28" s="113"/>
      <c r="H28" s="111" t="str">
        <f>IF(OR(escalier1="o",escalier1="n"),IF(escalier4="","-",escalier4),"-")</f>
        <v>-</v>
      </c>
      <c r="I28" s="113"/>
      <c r="J28" s="111">
        <f>IF(escalier2="o","Oui",(IF(escalier2="N","Non",(IF(escalier2="i","incapable","")))))</f>
      </c>
      <c r="K28" s="111" t="str">
        <f>IF(AND(escalier1="o",escalier2="o"),IF(escalier3="","-",escalier3),"-")</f>
        <v>-</v>
      </c>
      <c r="L28" s="113"/>
      <c r="M28" s="111" t="str">
        <f>IF(AND(escalier1="o",escalier2="o"),IF(escalier4="","-",escalier4),"-")</f>
        <v>-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16.5">
      <c r="A29" s="1">
        <v>17</v>
      </c>
      <c r="B29" s="49" t="s">
        <v>30</v>
      </c>
      <c r="C29" s="50"/>
      <c r="D29" s="51"/>
      <c r="E29" s="111">
        <f>IF(march1="o","Oui",(IF(march1="N","Non",(IF(march1="i","incapable","")))))</f>
      </c>
      <c r="F29" s="111" t="str">
        <f>IF(OR(march1="o",march1="n"),IF(march3="","-",march3),"-")</f>
        <v>-</v>
      </c>
      <c r="G29" s="113"/>
      <c r="H29" s="111" t="str">
        <f>IF(OR(march1="o",march1="n"),IF(march4="","-",march4),"-")</f>
        <v>-</v>
      </c>
      <c r="I29" s="113"/>
      <c r="J29" s="111">
        <f>IF(march2="o","Oui",(IF(march2="N","Non",(IF(march2="i","incapable","")))))</f>
      </c>
      <c r="K29" s="111" t="str">
        <f>IF(AND(march1="o",march2="o"),IF(march3="","-",march3),"-")</f>
        <v>-</v>
      </c>
      <c r="L29" s="113"/>
      <c r="M29" s="111" t="str">
        <f>IF(AND(march1="o",march2="o"),IF(march4="","-",march4),"-")</f>
        <v>-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ht="16.5">
      <c r="A30" s="1">
        <v>32</v>
      </c>
      <c r="B30" s="1" t="s">
        <v>88</v>
      </c>
      <c r="D30" s="13"/>
      <c r="E30" s="111">
        <f>IF(tapis1="o","Oui",(IF(tapis1="N","Non",(IF(tapis1="i","incapable","")))))</f>
      </c>
      <c r="F30" s="111" t="str">
        <f>IF(OR(tapis1="o",tapis1="n"),IF(tapis3="","-",tapis3),"-")</f>
        <v>-</v>
      </c>
      <c r="G30" s="113"/>
      <c r="H30" s="111" t="str">
        <f>IF(OR(tapis1="o",tapis1="n"),IF(tapis4="","-",tapis4),"-")</f>
        <v>-</v>
      </c>
      <c r="I30" s="113"/>
      <c r="J30" s="111">
        <f>IF(tapis2="o","Oui",(IF(tapis2="N","Non",(IF(tapis2="i","incapable","")))))</f>
      </c>
      <c r="K30" s="111" t="str">
        <f>IF(AND(tapis1="o",tapis2="o"),IF(tapis3="","-",tapis3),"-")</f>
        <v>-</v>
      </c>
      <c r="L30" s="113"/>
      <c r="M30" s="111" t="str">
        <f>IF(AND(tapis1="o",tapis2="o"),IF(tapis4="","-",tapis4),"-")</f>
        <v>-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ht="16.5">
      <c r="A31" s="1">
        <v>20</v>
      </c>
      <c r="B31" s="1" t="s">
        <v>22</v>
      </c>
      <c r="D31" s="13"/>
      <c r="E31" s="111">
        <f>IF(patin1="o","Oui",(IF(patin1="N","Non",(IF(patin1="i","incapable","")))))</f>
      </c>
      <c r="F31" s="111" t="str">
        <f>IF(OR(patin1="o",patin1="n"),IF(patin3="","-",patin3),"-")</f>
        <v>-</v>
      </c>
      <c r="G31" s="113"/>
      <c r="H31" s="111" t="str">
        <f>IF(OR(patin1="o",patin1="n"),IF(patin4="","-",patin4),"-")</f>
        <v>-</v>
      </c>
      <c r="I31" s="113"/>
      <c r="J31" s="111">
        <f>IF(patin2="o","Oui",(IF(patin2="N","Non",(IF(patin2="i","incapable","")))))</f>
      </c>
      <c r="K31" s="111" t="str">
        <f>IF(AND(patin1="o",patin2="o"),IF(patin3="","-",patin3),"-")</f>
        <v>-</v>
      </c>
      <c r="L31" s="113"/>
      <c r="M31" s="111" t="str">
        <f>IF(AND(patin1="o",patin2="o"),IF(patin4="","-",patin4),"-")</f>
        <v>-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8" customFormat="1" ht="16.5">
      <c r="A32" s="1">
        <v>27</v>
      </c>
      <c r="B32" s="49" t="s">
        <v>18</v>
      </c>
      <c r="C32" s="50"/>
      <c r="D32" s="51"/>
      <c r="E32" s="111">
        <f>IF(Rand1="o","Oui",(IF(Rand1="N","Non",(IF(Rand1="i","incapable","")))))</f>
      </c>
      <c r="F32" s="111" t="str">
        <f>IF(OR(Rand1="o",Rand1="n"),IF(rand3="","-",rand3),"-")</f>
        <v>-</v>
      </c>
      <c r="G32" s="113"/>
      <c r="H32" s="111" t="str">
        <f>IF(OR(Rand1="o",Rand1="n"),IF(rand4="","-",rand4),"-")</f>
        <v>-</v>
      </c>
      <c r="I32" s="113"/>
      <c r="J32" s="111">
        <f>IF(rand2="o","Oui",(IF(rand2="N","Non",(IF(rand2="i","incapable","")))))</f>
      </c>
      <c r="K32" s="111" t="str">
        <f>IF(AND(Rand1="o",rand2="o"),IF(rand3="","-",rand3),"-")</f>
        <v>-</v>
      </c>
      <c r="L32" s="113"/>
      <c r="M32" s="111" t="str">
        <f>IF(AND(Rand1="o",rand2="o"),IF(rand4="","-",rand4),"-")</f>
        <v>-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 ht="16.5">
      <c r="A33" s="1">
        <v>28</v>
      </c>
      <c r="B33" s="49" t="s">
        <v>28</v>
      </c>
      <c r="C33" s="50"/>
      <c r="D33" s="51"/>
      <c r="E33" s="111">
        <f>IF(raqu1="o","Oui",(IF(raqu1="N","Non",(IF(raqu1="i","incapable","")))))</f>
      </c>
      <c r="F33" s="111" t="str">
        <f>IF(OR(raqu1="o",raqu1="n"),IF(raqu3="","-",raqu3),"-")</f>
        <v>-</v>
      </c>
      <c r="G33" s="113"/>
      <c r="H33" s="111" t="str">
        <f>IF(OR(raqu1="o",raqu1="n"),IF(raqu4="","-",raqu4),"-")</f>
        <v>-</v>
      </c>
      <c r="I33" s="113"/>
      <c r="J33" s="111">
        <f>IF(raqu2="o","Oui",(IF(raqu2="N","Non",(IF(raqu2="i","incapable","")))))</f>
      </c>
      <c r="K33" s="111" t="str">
        <f>IF(AND(raqu1="o",raqu2="o"),IF(raqu3="","-",raqu3),"-")</f>
        <v>-</v>
      </c>
      <c r="L33" s="113"/>
      <c r="M33" s="111" t="str">
        <f>IF(AND(raqu1="o",raqu2="o"),IF(raqu4="","-",raqu4),"-")</f>
        <v>-</v>
      </c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ht="16.5">
      <c r="A34" s="1">
        <v>30</v>
      </c>
      <c r="B34" s="1" t="s">
        <v>10</v>
      </c>
      <c r="D34" s="13"/>
      <c r="E34" s="111">
        <f>IF(simu1="o","Oui",(IF(simu1="N","Non",(IF(simu1="i","incapable","")))))</f>
      </c>
      <c r="F34" s="111" t="str">
        <f>IF(OR(simu1="o",simu1="n"),IF(simu3="","-",simu3),"-")</f>
        <v>-</v>
      </c>
      <c r="G34" s="113"/>
      <c r="H34" s="111" t="str">
        <f>IF(OR(simu1="o",simu1="n"),IF(simu4="","-",simu4),"-")</f>
        <v>-</v>
      </c>
      <c r="I34" s="113"/>
      <c r="J34" s="111">
        <f>IF(simu2="o","Oui",(IF(simu2="N","Non",(IF(simu2="i","incapable","")))))</f>
      </c>
      <c r="K34" s="111" t="str">
        <f>IF(AND(simu1="o",simu2="o"),IF(simu3="","-",simu3),"-")</f>
        <v>-</v>
      </c>
      <c r="L34" s="113"/>
      <c r="M34" s="111" t="str">
        <f>IF(AND(simu1="o",simu2="o"),IF(simu4="","-",simu4),"-")</f>
        <v>-</v>
      </c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ht="16.5">
      <c r="A35" s="1">
        <v>38</v>
      </c>
      <c r="B35" s="1" t="s">
        <v>11</v>
      </c>
      <c r="D35" s="13"/>
      <c r="E35" s="111">
        <f>IF(velosta1="o","Oui",(IF(velosta1="N","Non",(IF(velosta1="i","incapable","")))))</f>
      </c>
      <c r="F35" s="111" t="str">
        <f>IF(OR(velosta1="o",velosta1="n"),IF(velosta3="","-",velosta3),"-")</f>
        <v>-</v>
      </c>
      <c r="G35" s="113"/>
      <c r="H35" s="111" t="str">
        <f>IF(OR(velosta1="o",velosta1="n"),IF(velosta4="","-",velosta4),"-")</f>
        <v>-</v>
      </c>
      <c r="I35" s="113"/>
      <c r="J35" s="111">
        <f>IF(velosta2="o","Oui",(IF(velosta2="N","Non",(IF(velosta2="i","incapable","")))))</f>
      </c>
      <c r="K35" s="111" t="str">
        <f>IF(AND(velosta1="o",velosta2="o"),IF(velosta3="","-",velosta3),"-")</f>
        <v>-</v>
      </c>
      <c r="L35" s="113"/>
      <c r="M35" s="111" t="str">
        <f>IF(AND(velosta1="o",velosta2="o"),IF(velosta4="","-",velosta4),"-")</f>
        <v>-</v>
      </c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ht="16.5">
      <c r="A36" s="8"/>
      <c r="B36" s="16" t="s">
        <v>57</v>
      </c>
      <c r="C36" s="17"/>
      <c r="D36" s="18"/>
      <c r="E36" s="129"/>
      <c r="F36" s="122" t="str">
        <f>IF(ISERROR(AVERAGE(F27:F35)),"-",AVERAGE(F27:F35))</f>
        <v>-</v>
      </c>
      <c r="G36" s="123"/>
      <c r="H36" s="122" t="str">
        <f>IF(ISERROR(AVERAGE(H27:H35)),"-",AVERAGE(H27:H35))</f>
        <v>-</v>
      </c>
      <c r="I36" s="130"/>
      <c r="J36" s="122"/>
      <c r="K36" s="122" t="str">
        <f>IF(ISERROR(AVERAGE(K27:K35)),"--",AVERAGE(K27:K35))</f>
        <v>--</v>
      </c>
      <c r="L36" s="122"/>
      <c r="M36" s="122" t="str">
        <f>IF(ISERROR(AVERAGE(M27:M35)),"--",AVERAGE(M27:M35))</f>
        <v>--</v>
      </c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4:24" ht="16.5">
      <c r="D37" s="13"/>
      <c r="E37" s="125"/>
      <c r="F37" s="114"/>
      <c r="G37" s="115"/>
      <c r="H37" s="114"/>
      <c r="I37" s="120"/>
      <c r="J37" s="126"/>
      <c r="K37" s="131"/>
      <c r="L37" s="128"/>
      <c r="M37" s="121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ht="16.5">
      <c r="A38" s="7" t="s">
        <v>53</v>
      </c>
      <c r="D38" s="13"/>
      <c r="E38" s="125"/>
      <c r="F38" s="114"/>
      <c r="G38" s="115"/>
      <c r="H38" s="114"/>
      <c r="I38" s="120"/>
      <c r="J38" s="126"/>
      <c r="K38" s="131"/>
      <c r="L38" s="128"/>
      <c r="M38" s="121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24" ht="16.5">
      <c r="A39" s="1">
        <v>2</v>
      </c>
      <c r="B39" s="1" t="s">
        <v>6</v>
      </c>
      <c r="D39" s="13"/>
      <c r="E39" s="111">
        <f>IF(Aqua1="o","Oui",(IF(Aqua1="N","Non",(IF(Aqua1="i","incapable","")))))</f>
      </c>
      <c r="F39" s="111" t="str">
        <f>IF(OR(Aqua1="o",Aqua1="n"),IF(Aqua3="","-",Aqua3),"-")</f>
        <v>-</v>
      </c>
      <c r="G39" s="113"/>
      <c r="H39" s="111" t="str">
        <f>IF(OR(Aqua1="o",Aqua1="n"),IF(Aqua4="","-",Aqua4),"-")</f>
        <v>-</v>
      </c>
      <c r="I39" s="113"/>
      <c r="J39" s="111">
        <f>IF(Aqua2="o","Oui",(IF(Aqua2="N","Non",(IF(Aqua2="i","incapable","")))))</f>
      </c>
      <c r="K39" s="111" t="str">
        <f>IF(AND(Aqua1="o",Aqua2="o"),IF(Aqua3="","-",Aqua3),"-")</f>
        <v>-</v>
      </c>
      <c r="L39" s="113"/>
      <c r="M39" s="111" t="str">
        <f>IF(AND(Aqua1="o",Aqua2="o"),IF(Aqua4="","-",Aqua4),"-")</f>
        <v>-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1:24" ht="16.5">
      <c r="A40" s="1">
        <v>24</v>
      </c>
      <c r="B40" s="1" t="s">
        <v>71</v>
      </c>
      <c r="D40" s="13"/>
      <c r="E40" s="111">
        <f>IF(push1="o","Oui",(IF(push1="N","Non",(IF(push1="i","incapable","")))))</f>
      </c>
      <c r="F40" s="111" t="str">
        <f>IF(OR(push1="o",push1="n"),IF(push3="","-",push3),"-")</f>
        <v>-</v>
      </c>
      <c r="G40" s="113"/>
      <c r="H40" s="111" t="str">
        <f>IF(OR(push1="o",push1="n"),IF(push4="","-",push4),"-")</f>
        <v>-</v>
      </c>
      <c r="I40" s="113"/>
      <c r="J40" s="111">
        <f>IF(push2="o","Oui",(IF(push2="N","Non",(IF(push2="i","incapable","")))))</f>
      </c>
      <c r="K40" s="111" t="str">
        <f>IF(AND(push1="o",push2="o"),IF(push3="","-",push3),"-")</f>
        <v>-</v>
      </c>
      <c r="L40" s="113"/>
      <c r="M40" s="111" t="str">
        <f>IF(AND(push1="o",push2="o"),IF(push4="","-",push4),"-")</f>
        <v>-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1:24" s="8" customFormat="1" ht="16.5">
      <c r="A41" s="1">
        <v>13</v>
      </c>
      <c r="B41" s="1" t="s">
        <v>36</v>
      </c>
      <c r="C41" s="4"/>
      <c r="D41" s="13"/>
      <c r="E41" s="111">
        <f>IF(frisbee1="o","Oui",(IF(frisbee1="N","Non",(IF(frisbee1="i","incapable","")))))</f>
      </c>
      <c r="F41" s="111" t="str">
        <f>IF(OR(frisbee1="o",frisbee1="n"),IF(frisbee3="","-",frisbee3),"-")</f>
        <v>-</v>
      </c>
      <c r="G41" s="113"/>
      <c r="H41" s="111" t="str">
        <f>IF(OR(frisbee1="o",frisbee1="n"),IF(frisbee4="","-",frisbee4),"-")</f>
        <v>-</v>
      </c>
      <c r="I41" s="113"/>
      <c r="J41" s="111">
        <f>IF(frisbee2="o","Oui",(IF(frisbee2="N","Non",(IF(frisbee2="i","incapable","")))))</f>
      </c>
      <c r="K41" s="111" t="str">
        <f>IF(AND(frisbee1="o",frisbee2="o"),IF(frisbee3="","-",frisbee3),"-")</f>
        <v>-</v>
      </c>
      <c r="L41" s="113"/>
      <c r="M41" s="111" t="str">
        <f>IF(AND(frisbee1="o",frisbee2="o"),IF(frisbee4="","-",frisbee4),"-")</f>
        <v>-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24" ht="16.5">
      <c r="A42" s="1">
        <v>16</v>
      </c>
      <c r="B42" s="1" t="s">
        <v>15</v>
      </c>
      <c r="D42" s="13"/>
      <c r="E42" s="111">
        <f>IF(grdo1="o","Oui",(IF(grdo1="N","Non",(IF(grdo1="i","incapable","")))))</f>
      </c>
      <c r="F42" s="111" t="str">
        <f>IF(OR(grdo1="o",grdo1="n"),IF(grdo3="","-",grdo3),"-")</f>
        <v>-</v>
      </c>
      <c r="G42" s="113"/>
      <c r="H42" s="111" t="str">
        <f>IF(OR(grdo1="o",grdo1="n"),IF(grdo4="","-",grdo4),"-")</f>
        <v>-</v>
      </c>
      <c r="I42" s="113"/>
      <c r="J42" s="111">
        <f>IF(grdo2="o","Oui",(IF(grdo2="N","Non",(IF(grdo2="i","incapable","")))))</f>
      </c>
      <c r="K42" s="111" t="str">
        <f>IF(AND(grdo1="o",grdo2="o"),IF(grdo3="","-",grdo3),"-")</f>
        <v>-</v>
      </c>
      <c r="L42" s="113"/>
      <c r="M42" s="111" t="str">
        <f>IF(AND(grdo1="o",grdo2="o"),IF(grdo4="","-",grdo4),"-")</f>
        <v>-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1:24" ht="16.5">
      <c r="A43" s="1">
        <v>19</v>
      </c>
      <c r="B43" s="1" t="s">
        <v>7</v>
      </c>
      <c r="D43" s="13"/>
      <c r="E43" s="111">
        <f>IF(Nata1="o","Oui",(IF(Nata1="N","Non",(IF(Nata1="i","incapable","")))))</f>
      </c>
      <c r="F43" s="111" t="str">
        <f>IF(OR(Nata1="o",Nata1="n"),IF(nata3="","-",nata3),"-")</f>
        <v>-</v>
      </c>
      <c r="G43" s="113"/>
      <c r="H43" s="111" t="str">
        <f>IF(OR(Nata1="o",Nata1="n"),IF(nata4="","-",nata4),"-")</f>
        <v>-</v>
      </c>
      <c r="I43" s="113"/>
      <c r="J43" s="111">
        <f>IF(nata2="o","Oui",(IF(nata2="N","Non",(IF(nata2="i","incapable","")))))</f>
      </c>
      <c r="K43" s="111" t="str">
        <f>IF(AND(Nata1="o",nata2="o"),IF(nata3="","-",nata3),"-")</f>
        <v>-</v>
      </c>
      <c r="L43" s="113"/>
      <c r="M43" s="111" t="str">
        <f>IF(AND(Nata1="o",nata2="o"),IF(nata4="","-",nata4),"-")</f>
        <v>-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1:24" ht="16.5">
      <c r="A44" s="1">
        <v>21</v>
      </c>
      <c r="B44" s="1" t="s">
        <v>35</v>
      </c>
      <c r="D44" s="13"/>
      <c r="E44" s="111">
        <f>IF(pech1="o","Oui",(IF(pech1="N","Non",(IF(pech1="i","incapable","")))))</f>
      </c>
      <c r="F44" s="111" t="str">
        <f>IF(OR(pech1="o",pech1="n"),IF(pech3="","-",pech3),"-")</f>
        <v>-</v>
      </c>
      <c r="G44" s="113"/>
      <c r="H44" s="111" t="str">
        <f>IF(OR(pech1="o",pech1="n"),IF(pech4="","-",pech4),"-")</f>
        <v>-</v>
      </c>
      <c r="I44" s="113"/>
      <c r="J44" s="111">
        <f>IF(pech2="o","Oui",(IF(pech2="N","Non",(IF(pech2="i","incapable","")))))</f>
      </c>
      <c r="K44" s="111" t="str">
        <f>IF(AND(pech1="o",pech2="o"),IF(pech3="","-",pech3),"-")</f>
        <v>-</v>
      </c>
      <c r="L44" s="113"/>
      <c r="M44" s="111" t="str">
        <f>IF(AND(pech1="o",pech2="o"),IF(pech4="","-",pech4),"-")</f>
        <v>-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5" spans="1:24" ht="16.5">
      <c r="A45" s="1">
        <v>22</v>
      </c>
      <c r="B45" s="1" t="s">
        <v>16</v>
      </c>
      <c r="D45" s="13"/>
      <c r="E45" s="111">
        <f>IF(pect1="o","Oui",(IF(pect1="N","Non",(IF(pect1="i","incapable","")))))</f>
      </c>
      <c r="F45" s="111" t="str">
        <f>IF(OR(pect1="o",pect1="n"),IF(pect3="","-",pect3),"-")</f>
        <v>-</v>
      </c>
      <c r="G45" s="113"/>
      <c r="H45" s="111" t="str">
        <f>IF(OR(pect1="o",pect1="n"),IF(pect4="","-",pect4),"-")</f>
        <v>-</v>
      </c>
      <c r="I45" s="113"/>
      <c r="J45" s="111">
        <f>IF(pect2="o","Oui",(IF(pect2="N","Non",(IF(pect2="i","incapable","")))))</f>
      </c>
      <c r="K45" s="111" t="str">
        <f>IF(AND(pect1="o",pect2="o"),IF(pect3="","-",pect3),"-")</f>
        <v>-</v>
      </c>
      <c r="L45" s="113"/>
      <c r="M45" s="111" t="str">
        <f>IF(AND(pect1="o",pect2="o"),IF(pect4="","-",pect4),"-")</f>
        <v>-</v>
      </c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1:24" ht="16.5">
      <c r="A46" s="1">
        <v>35</v>
      </c>
      <c r="B46" s="1" t="s">
        <v>5</v>
      </c>
      <c r="D46" s="13"/>
      <c r="E46" s="111">
        <f>IF(tirarc1="o","Oui",(IF(tirarc1="N","Non",(IF(tirarc1="i","incapable","")))))</f>
      </c>
      <c r="F46" s="111" t="str">
        <f>IF(OR(tirarc1="o",tirarc1="n"),IF(tirarc3="","-",tirarc3),"-")</f>
        <v>-</v>
      </c>
      <c r="G46" s="113"/>
      <c r="H46" s="111" t="str">
        <f>IF(OR(tirarc1="o",tirarc1="n"),IF(tirarc4="","-",tirarc4),"-")</f>
        <v>-</v>
      </c>
      <c r="I46" s="113"/>
      <c r="J46" s="111">
        <f>IF(tirarc2="o","Oui",(IF(tirarc2="N","Non",(IF(tirarc2="i","incapable","")))))</f>
      </c>
      <c r="K46" s="111" t="str">
        <f>IF(AND(tirarc1="o",tirarc2="o"),IF(tirarc3="","-",tirarc3),"-")</f>
        <v>-</v>
      </c>
      <c r="L46" s="113"/>
      <c r="M46" s="111" t="str">
        <f>IF(AND(tirarc1="o",tirarc2="o"),IF(tirarc4="","-",tirarc4),"-")</f>
        <v>-</v>
      </c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1:24" ht="16.5">
      <c r="A47" s="1">
        <v>36</v>
      </c>
      <c r="B47" s="1" t="s">
        <v>17</v>
      </c>
      <c r="D47" s="13"/>
      <c r="E47" s="111">
        <f>IF(tirhor1="o","Oui",(IF(tirhor1="N","Non",(IF(tirhor1="i","incapable","")))))</f>
      </c>
      <c r="F47" s="111" t="str">
        <f>IF(OR(tirhor1="o",tirhor1="n"),IF(tirhor3="","-",tirhor3),"-")</f>
        <v>-</v>
      </c>
      <c r="G47" s="113"/>
      <c r="H47" s="111" t="str">
        <f>IF(OR(tirhor1="o",tirhor1="n"),IF(tirhor4="","-",tirhor4),"-")</f>
        <v>-</v>
      </c>
      <c r="I47" s="113"/>
      <c r="J47" s="111">
        <f>IF(tirhor2="o","Oui",(IF(tirhor2="N","Non",(IF(tirhor2="i","incapable","")))))</f>
      </c>
      <c r="K47" s="111" t="str">
        <f>IF(AND(tirhor1="o",tirhor2="o"),IF(tirhor3="","-",tirhor3),"-")</f>
        <v>-</v>
      </c>
      <c r="L47" s="113"/>
      <c r="M47" s="111" t="str">
        <f>IF(AND(tirhor1="o",tirhor2="o"),IF(tirhor4="","-",tirhor4),"-")</f>
        <v>-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1:24" ht="16.5">
      <c r="A48" s="8"/>
      <c r="B48" s="16" t="s">
        <v>57</v>
      </c>
      <c r="C48" s="17"/>
      <c r="D48" s="18"/>
      <c r="E48" s="129"/>
      <c r="F48" s="122" t="str">
        <f>IF(ISERROR(AVERAGE(F39:F47)),"--",AVERAGE(F39:F47))</f>
        <v>--</v>
      </c>
      <c r="G48" s="123"/>
      <c r="H48" s="122" t="str">
        <f>IF(ISERROR(AVERAGE(H39:H47)),"--",AVERAGE(H39:H47))</f>
        <v>--</v>
      </c>
      <c r="I48" s="124"/>
      <c r="J48" s="122"/>
      <c r="K48" s="122" t="str">
        <f>IF(ISERROR(AVERAGE(K39:K47)),"--",AVERAGE(K39:K47))</f>
        <v>--</v>
      </c>
      <c r="L48" s="122"/>
      <c r="M48" s="122" t="str">
        <f>IF(ISERROR(AVERAGE(M39:M47)),"--",AVERAGE(M39:M47))</f>
        <v>--</v>
      </c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</row>
    <row r="49" spans="4:24" ht="16.5">
      <c r="D49" s="13"/>
      <c r="E49" s="125"/>
      <c r="F49" s="114"/>
      <c r="G49" s="115"/>
      <c r="H49" s="114"/>
      <c r="I49" s="120"/>
      <c r="J49" s="126"/>
      <c r="K49" s="131"/>
      <c r="L49" s="128"/>
      <c r="M49" s="121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</row>
    <row r="50" spans="1:24" ht="16.5">
      <c r="A50" s="7" t="s">
        <v>54</v>
      </c>
      <c r="D50" s="13"/>
      <c r="E50" s="125"/>
      <c r="F50" s="114"/>
      <c r="G50" s="115"/>
      <c r="H50" s="114"/>
      <c r="I50" s="120"/>
      <c r="J50" s="126"/>
      <c r="K50" s="131"/>
      <c r="L50" s="128"/>
      <c r="M50" s="121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</row>
    <row r="51" spans="1:24" ht="16.5">
      <c r="A51" s="1">
        <v>7</v>
      </c>
      <c r="B51" s="1" t="s">
        <v>4</v>
      </c>
      <c r="D51" s="13"/>
      <c r="E51" s="111">
        <f>IF(chass1="o","Oui",(IF(chass1="N","Non",(IF(chass1="i","incapable","")))))</f>
      </c>
      <c r="F51" s="111" t="str">
        <f>IF(OR(chass1="o",chass1="n"),IF(chass3="","-",chass3),"-")</f>
        <v>-</v>
      </c>
      <c r="G51" s="113"/>
      <c r="H51" s="111" t="str">
        <f>IF(OR(chass1="o",chass1="n"),IF(chass4="","-",chass4),"-")</f>
        <v>-</v>
      </c>
      <c r="I51" s="113"/>
      <c r="J51" s="111">
        <f>IF(chass2="o","Oui",(IF(chass2="N","Non",(IF(chass2="i","incapable","")))))</f>
      </c>
      <c r="K51" s="111" t="str">
        <f>IF(AND(chass1="o",chass2="o"),IF(chass3="","-",chass3),"-")</f>
        <v>-</v>
      </c>
      <c r="L51" s="113"/>
      <c r="M51" s="111" t="str">
        <f>IF(AND(chass1="o",chass2="o"),IF(chass4="","-",chass4),"-")</f>
        <v>-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</row>
    <row r="52" spans="1:24" ht="16.5">
      <c r="A52" s="1">
        <v>14</v>
      </c>
      <c r="B52" s="49" t="s">
        <v>29</v>
      </c>
      <c r="C52" s="50"/>
      <c r="D52" s="51"/>
      <c r="E52" s="111">
        <f>IF(gliss1="o","Oui",(IF(gliss1="N","Non",(IF(gliss1="i","incapable","")))))</f>
      </c>
      <c r="F52" s="111" t="str">
        <f>IF(OR(gliss1="o",gliss1="n"),IF(gliss3="","-",gliss3),"-")</f>
        <v>-</v>
      </c>
      <c r="G52" s="113"/>
      <c r="H52" s="111" t="str">
        <f>IF(OR(gliss1="o",gliss1="n"),IF(gliss4="","-",gliss4),"-")</f>
        <v>-</v>
      </c>
      <c r="I52" s="113"/>
      <c r="J52" s="111">
        <f>IF(gliss2="o","Oui",(IF(gliss2="N","Non",(IF(gliss2="i","incapable","")))))</f>
      </c>
      <c r="K52" s="111" t="str">
        <f>IF(AND(gliss1="o",gliss2="o"),IF(gliss3="","-",gliss3),"-")</f>
        <v>-</v>
      </c>
      <c r="L52" s="113"/>
      <c r="M52" s="111" t="str">
        <f>IF(AND(gliss1="o",gliss2="o"),IF(gliss4="","-",gliss4),"-")</f>
        <v>-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1:24" s="8" customFormat="1" ht="16.5">
      <c r="A53" s="1">
        <v>18</v>
      </c>
      <c r="B53" s="49" t="s">
        <v>27</v>
      </c>
      <c r="C53" s="50"/>
      <c r="D53" s="51"/>
      <c r="E53" s="111">
        <f>IF(moto1="o","Oui",(IF(moto1="N","Non",(IF(moto1="i","incapable","")))))</f>
      </c>
      <c r="F53" s="111" t="str">
        <f>IF(OR(moto1="o",moto1="n"),IF(moto3="","-",moto3),"-")</f>
        <v>-</v>
      </c>
      <c r="G53" s="113"/>
      <c r="H53" s="111" t="str">
        <f>IF(OR(moto1="o",moto1="n"),IF(moto4="","-",moto4),"-")</f>
        <v>-</v>
      </c>
      <c r="I53" s="113"/>
      <c r="J53" s="111">
        <f>IF(moto2="o","Oui",(IF(moto2="N","Non",(IF(moto2="i","incapable","")))))</f>
      </c>
      <c r="K53" s="111" t="str">
        <f>IF(AND(moto1="o",moto2="o"),IF(moto3="","-",moto3),"-")</f>
        <v>-</v>
      </c>
      <c r="L53" s="113"/>
      <c r="M53" s="111" t="str">
        <f>IF(AND(moto1="o",moto2="o"),IF(moto4="","-",moto4),"-")</f>
        <v>-</v>
      </c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</row>
    <row r="54" spans="1:24" ht="16.5">
      <c r="A54" s="1">
        <v>29</v>
      </c>
      <c r="B54" s="1" t="s">
        <v>9</v>
      </c>
      <c r="D54" s="13"/>
      <c r="E54" s="111">
        <f>IF(saut1="o","Oui",(IF(saut1="N","Non",(IF(saut1="i","incapable","")))))</f>
      </c>
      <c r="F54" s="111" t="str">
        <f>IF(OR(saut1="o",saut1="n"),IF(saut3="","-",saut3),"-")</f>
        <v>-</v>
      </c>
      <c r="G54" s="113"/>
      <c r="H54" s="111" t="str">
        <f>IF(OR(saut1="o",saut1="n"),IF(saut4="","-",saut4),"-")</f>
        <v>-</v>
      </c>
      <c r="I54" s="113"/>
      <c r="J54" s="111">
        <f>IF(saut2="o","Oui",(IF(saut2="N","Non",(IF(saut2="i","incapable","")))))</f>
      </c>
      <c r="K54" s="111" t="str">
        <f>IF(AND(saut1="o",saut2="o"),IF(saut3="","-",saut3),"-")</f>
        <v>-</v>
      </c>
      <c r="L54" s="113"/>
      <c r="M54" s="111" t="str">
        <f>IF(AND(saut1="o",saut2="o"),IF(saut4="","-",saut4),"-")</f>
        <v>-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1:24" ht="16.5">
      <c r="A55" s="1">
        <v>37</v>
      </c>
      <c r="B55" s="49" t="s">
        <v>74</v>
      </c>
      <c r="C55" s="50"/>
      <c r="D55" s="51"/>
      <c r="E55" s="111">
        <f>IF(vtt_1="o","Oui",(IF(vtt_1="N","Non",(IF(vtt_1="i","incapable","")))))</f>
      </c>
      <c r="F55" s="111" t="str">
        <f>IF(OR(vtt_1="o",vtt_1="n"),IF(vtt_3="","-",vtt_3),"-")</f>
        <v>-</v>
      </c>
      <c r="G55" s="113"/>
      <c r="H55" s="111" t="str">
        <f>IF(OR(vtt_1="o",vtt_1="n"),IF(vtt_4="","-",vtt_4),"-")</f>
        <v>-</v>
      </c>
      <c r="I55" s="113"/>
      <c r="J55" s="111">
        <f>IF(vtt_2="o","Oui",(IF(vtt_2="N","Non",(IF(vtt_2="i","incapable","")))))</f>
      </c>
      <c r="K55" s="111" t="str">
        <f>IF(AND(vtt_1="o",vtt_2="o"),IF(vtt_3="","-",vtt_3),"-")</f>
        <v>-</v>
      </c>
      <c r="L55" s="113"/>
      <c r="M55" s="111" t="str">
        <f>IF(AND(vtt_1="o",vtt_2="o"),IF(vtt_4="","-",vtt_4),"-")</f>
        <v>-</v>
      </c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</row>
    <row r="56" spans="1:24" ht="16.5">
      <c r="A56" s="8"/>
      <c r="B56" s="16" t="s">
        <v>57</v>
      </c>
      <c r="C56" s="17"/>
      <c r="D56" s="18"/>
      <c r="E56" s="122"/>
      <c r="F56" s="122" t="str">
        <f>IF(ISERROR(AVERAGE(F51:F55)),"--",AVERAGE(F51:F55))</f>
        <v>--</v>
      </c>
      <c r="G56" s="123"/>
      <c r="H56" s="122" t="str">
        <f>IF(ISERROR(AVERAGE(H51:H55)),"--",AVERAGE(H51:H55))</f>
        <v>--</v>
      </c>
      <c r="I56" s="124"/>
      <c r="J56" s="122"/>
      <c r="K56" s="122" t="str">
        <f>IF(ISERROR(AVERAGE(K51:K55)),"--",AVERAGE(K51:K55))</f>
        <v>--</v>
      </c>
      <c r="L56" s="122"/>
      <c r="M56" s="122" t="str">
        <f>IF(ISERROR(AVERAGE(M51:M55)),"--",AVERAGE(M51:M55))</f>
        <v>--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4:24" ht="16.5">
      <c r="D57" s="13"/>
      <c r="E57" s="125"/>
      <c r="F57" s="114"/>
      <c r="G57" s="115"/>
      <c r="H57" s="114"/>
      <c r="I57" s="120"/>
      <c r="J57" s="121"/>
      <c r="K57" s="121"/>
      <c r="L57" s="120"/>
      <c r="M57" s="121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</row>
    <row r="58" spans="1:24" ht="16.5">
      <c r="A58" s="7" t="s">
        <v>55</v>
      </c>
      <c r="D58" s="13"/>
      <c r="E58" s="125"/>
      <c r="F58" s="114"/>
      <c r="G58" s="115"/>
      <c r="H58" s="114"/>
      <c r="I58" s="120"/>
      <c r="J58" s="121"/>
      <c r="K58" s="121"/>
      <c r="L58" s="120"/>
      <c r="M58" s="121"/>
      <c r="N58" s="58"/>
      <c r="O58" s="57"/>
      <c r="P58" s="57"/>
      <c r="Q58" s="57"/>
      <c r="R58" s="57"/>
      <c r="S58" s="57"/>
      <c r="T58" s="57"/>
      <c r="U58" s="57"/>
      <c r="V58" s="57"/>
      <c r="W58" s="57"/>
      <c r="X58" s="57"/>
    </row>
    <row r="59" spans="1:24" ht="16.5">
      <c r="A59" s="1">
        <v>1</v>
      </c>
      <c r="B59" s="1" t="s">
        <v>45</v>
      </c>
      <c r="D59" s="13"/>
      <c r="E59" s="111">
        <f>IF(Abdo1="o","Oui",(IF(Abdo1="N","Non",(IF(Abdo1="i","incapable","")))))</f>
      </c>
      <c r="F59" s="111" t="str">
        <f>IF(OR(Abdo1="o",Abdo1="n"),IF(Abdo3="","-",Abdo3),"-")</f>
        <v>-</v>
      </c>
      <c r="G59" s="111"/>
      <c r="H59" s="111" t="str">
        <f>IF(OR(Abdo1="o",Abdo1="n"),IF(Abdo4="","-",Abdo4),"-")</f>
        <v>-</v>
      </c>
      <c r="I59" s="113"/>
      <c r="J59" s="111">
        <f>IF(Abdo2="o","Oui",(IF(Abdo2="N","Non",(IF(Abdo2="i","incapable","")))))</f>
      </c>
      <c r="K59" s="111" t="str">
        <f>IF(AND(Abdo1="o",Abdo2="o"),IF(Abdo3="","-",Abdo3),"-")</f>
        <v>-</v>
      </c>
      <c r="L59" s="113"/>
      <c r="M59" s="111" t="str">
        <f>IF(AND(Abdo1="o",Abdo2="o"),IF(Abdo4="","-",Abdo4),"-")</f>
        <v>-</v>
      </c>
      <c r="N59" s="58"/>
      <c r="O59" s="57"/>
      <c r="P59" s="57"/>
      <c r="Q59" s="57"/>
      <c r="R59" s="57"/>
      <c r="S59" s="57"/>
      <c r="T59" s="57"/>
      <c r="U59" s="57"/>
      <c r="V59" s="57"/>
      <c r="W59" s="57"/>
      <c r="X59" s="57"/>
    </row>
    <row r="60" spans="1:24" ht="16.5">
      <c r="A60" s="1">
        <v>11</v>
      </c>
      <c r="B60" s="1" t="s">
        <v>13</v>
      </c>
      <c r="D60" s="13"/>
      <c r="E60" s="111">
        <f>IF(extgen1="o","Oui",(IF(extgen1="N","Non",(IF(extgen1="i","incapable","")))))</f>
      </c>
      <c r="F60" s="111" t="str">
        <f>IF(OR(extgen1="o",extgen1="n"),IF(extgen3="","-",extgen3),"-")</f>
        <v>-</v>
      </c>
      <c r="G60" s="111"/>
      <c r="H60" s="111" t="str">
        <f>IF(OR(extgen1="o",extgen1="n"),IF(extgen4="","-",extgen4),"-")</f>
        <v>-</v>
      </c>
      <c r="I60" s="113"/>
      <c r="J60" s="111">
        <f>IF(extgen2="o","Oui",(IF(extgen2="N","Non",(IF(extgen2="i","incapable","")))))</f>
      </c>
      <c r="K60" s="111" t="str">
        <f>IF(AND(extgen1="o",extgen2="o"),IF(extgen3="","-",extgen3),"-")</f>
        <v>-</v>
      </c>
      <c r="L60" s="113"/>
      <c r="M60" s="111" t="str">
        <f>IF(AND(extgen1="o",extgen2="o"),IF(extgen4="","-",extgen4),"-")</f>
        <v>-</v>
      </c>
      <c r="N60" s="58"/>
      <c r="O60" s="57"/>
      <c r="P60" s="57"/>
      <c r="Q60" s="57"/>
      <c r="R60" s="57"/>
      <c r="S60" s="57"/>
      <c r="T60" s="57"/>
      <c r="U60" s="57"/>
      <c r="V60" s="57"/>
      <c r="W60" s="57"/>
      <c r="X60" s="57"/>
    </row>
    <row r="61" spans="1:24" ht="16.5">
      <c r="A61" s="1">
        <v>12</v>
      </c>
      <c r="B61" s="1" t="s">
        <v>14</v>
      </c>
      <c r="D61" s="13"/>
      <c r="E61" s="111">
        <f>IF(extlom1="o","Oui",(IF(extlom1="N","Non",(IF(extlom1="i","incapable","")))))</f>
      </c>
      <c r="F61" s="111" t="str">
        <f>IF(OR(extlom1="o",extlom1="n"),IF(extlom3="","-",extlom3),"-")</f>
        <v>-</v>
      </c>
      <c r="G61" s="111"/>
      <c r="H61" s="111" t="str">
        <f>IF(OR(extlom1="o",extlom1="n"),IF(extlom4="","-",extlom4),"-")</f>
        <v>-</v>
      </c>
      <c r="I61" s="113"/>
      <c r="J61" s="111">
        <f>IF(extlom2="o","Oui",(IF(extlom2="N","Non",(IF(extlom2="i","incapable","")))))</f>
      </c>
      <c r="K61" s="111" t="str">
        <f>IF(AND(extlom1="o",extlom2="o"),IF(extlom3="","-",extlom3),"-")</f>
        <v>-</v>
      </c>
      <c r="L61" s="113"/>
      <c r="M61" s="111" t="str">
        <f>IF(AND(extlom1="o",extlom2="o"),IF(extlom4="","-",extlom4),"-")</f>
        <v>-</v>
      </c>
      <c r="N61" s="58"/>
      <c r="O61" s="57"/>
      <c r="P61" s="57"/>
      <c r="Q61" s="57"/>
      <c r="R61" s="57"/>
      <c r="S61" s="57"/>
      <c r="T61" s="57"/>
      <c r="U61" s="57"/>
      <c r="V61" s="57"/>
      <c r="W61" s="57"/>
      <c r="X61" s="57"/>
    </row>
    <row r="62" spans="1:24" ht="16.5">
      <c r="A62" s="8"/>
      <c r="B62" s="16" t="s">
        <v>57</v>
      </c>
      <c r="C62" s="17"/>
      <c r="D62" s="18"/>
      <c r="E62" s="129"/>
      <c r="F62" s="122" t="str">
        <f>IF(ISERROR(AVERAGE(F59:F61)),"--",AVERAGE(F59:F61))</f>
        <v>--</v>
      </c>
      <c r="G62" s="123"/>
      <c r="H62" s="122" t="str">
        <f>IF(ISERROR(AVERAGE(H59:H61)),"--",AVERAGE(H59:H61))</f>
        <v>--</v>
      </c>
      <c r="I62" s="124"/>
      <c r="J62" s="122"/>
      <c r="K62" s="122" t="str">
        <f>IF(ISERROR(AVERAGE(K59:K61)),"--",AVERAGE(K59:K61))</f>
        <v>--</v>
      </c>
      <c r="L62" s="122"/>
      <c r="M62" s="122" t="str">
        <f>IF(ISERROR(AVERAGE(M59:M61)),"--",AVERAGE(M59:M61))</f>
        <v>--</v>
      </c>
      <c r="N62" s="58"/>
      <c r="O62" s="57"/>
      <c r="P62" s="57"/>
      <c r="Q62" s="57"/>
      <c r="R62" s="57"/>
      <c r="S62" s="57"/>
      <c r="T62" s="57"/>
      <c r="U62" s="57"/>
      <c r="V62" s="57"/>
      <c r="W62" s="57"/>
      <c r="X62" s="57"/>
    </row>
    <row r="63" spans="1:24" ht="16.5">
      <c r="A63" s="9"/>
      <c r="B63" s="9"/>
      <c r="C63" s="10"/>
      <c r="D63" s="10"/>
      <c r="E63" s="132"/>
      <c r="F63" s="133"/>
      <c r="G63" s="134"/>
      <c r="H63" s="133"/>
      <c r="I63" s="134"/>
      <c r="J63" s="132"/>
      <c r="K63" s="133"/>
      <c r="L63" s="135"/>
      <c r="M63" s="133"/>
      <c r="N63" s="58"/>
      <c r="O63" s="57"/>
      <c r="P63" s="57"/>
      <c r="Q63" s="57"/>
      <c r="R63" s="57"/>
      <c r="S63" s="57"/>
      <c r="T63" s="57"/>
      <c r="U63" s="57"/>
      <c r="V63" s="57"/>
      <c r="W63" s="57"/>
      <c r="X63" s="57"/>
    </row>
    <row r="64" spans="1:24" s="8" customFormat="1" ht="16.5">
      <c r="A64" s="7" t="s">
        <v>56</v>
      </c>
      <c r="B64" s="1"/>
      <c r="C64" s="4"/>
      <c r="D64" s="13"/>
      <c r="E64" s="111"/>
      <c r="F64" s="111"/>
      <c r="G64" s="113"/>
      <c r="H64" s="111"/>
      <c r="I64" s="113"/>
      <c r="J64" s="111"/>
      <c r="K64" s="111"/>
      <c r="L64" s="113"/>
      <c r="M64" s="111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</row>
    <row r="65" spans="1:24" s="9" customFormat="1" ht="16.5">
      <c r="A65" s="1">
        <v>6</v>
      </c>
      <c r="B65" s="1" t="s">
        <v>3</v>
      </c>
      <c r="C65" s="4"/>
      <c r="D65" s="13"/>
      <c r="E65" s="111">
        <f>IF(bill1="o","Oui",(IF(bill1="N","Non",(IF(bill1="i","incapable","")))))</f>
      </c>
      <c r="F65" s="111" t="str">
        <f>IF(OR(bill1="o",bill1="n"),IF(bill3="","-",bill3),"-")</f>
        <v>-</v>
      </c>
      <c r="G65" s="113"/>
      <c r="H65" s="111" t="str">
        <f>IF(OR(bill1="o",bill1="n"),IF(bill4="","-",bill4),"-")</f>
        <v>-</v>
      </c>
      <c r="I65" s="113"/>
      <c r="J65" s="111">
        <f>IF(bill2="o","Oui",(IF(bill2="N","Non",(IF(bill2="i","incapable","")))))</f>
      </c>
      <c r="K65" s="111" t="str">
        <f>IF(AND(bill1="o",bill2="o"),IF(bill3="","-",bill3),"-")</f>
        <v>-</v>
      </c>
      <c r="L65" s="113"/>
      <c r="M65" s="111" t="str">
        <f>IF(AND(bill1="o",bill2="o"),IF(bill4="","-",bill4),"-")</f>
        <v>-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</row>
    <row r="66" spans="1:24" s="7" customFormat="1" ht="16.5">
      <c r="A66" s="1">
        <v>23</v>
      </c>
      <c r="B66" s="1" t="s">
        <v>26</v>
      </c>
      <c r="C66" s="4"/>
      <c r="D66" s="13"/>
      <c r="E66" s="111">
        <f>IF(petan1="o","Oui",(IF(petan1="N","Non",(IF(petan1="i","incapable","")))))</f>
      </c>
      <c r="F66" s="111" t="str">
        <f>IF(OR(petan1="o",petan1="n"),IF(petan3="","-",petan3),"-")</f>
        <v>-</v>
      </c>
      <c r="G66" s="113"/>
      <c r="H66" s="111" t="str">
        <f>IF(OR(petan1="o",petan1="n"),IF(petan4="","-",petan4),"-")</f>
        <v>-</v>
      </c>
      <c r="I66" s="113"/>
      <c r="J66" s="111">
        <f>IF(petan2="o","Oui",(IF(petan2="N","Non",(IF(petan2="i","incapable","")))))</f>
      </c>
      <c r="K66" s="111" t="str">
        <f>IF(AND(petan1="o",petan2="o"),IF(petan3="","-",petan3),"-")</f>
        <v>-</v>
      </c>
      <c r="L66" s="113"/>
      <c r="M66" s="111" t="str">
        <f>IF(AND(petan1="o",petan2="o"),IF(petan4="","-",petan4),"-")</f>
        <v>-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1:24" ht="16.5">
      <c r="A67" s="8"/>
      <c r="B67" s="16" t="s">
        <v>57</v>
      </c>
      <c r="C67" s="17"/>
      <c r="D67" s="18"/>
      <c r="E67" s="129"/>
      <c r="F67" s="122" t="str">
        <f>IF(ISERROR(AVERAGE(F65:F66)),"--",AVERAGE(F65:F66))</f>
        <v>--</v>
      </c>
      <c r="G67" s="123"/>
      <c r="H67" s="122" t="str">
        <f>IF(ISERROR(AVERAGE(H65:H66)),"--",AVERAGE(H65:H66))</f>
        <v>--</v>
      </c>
      <c r="I67" s="124"/>
      <c r="J67" s="122"/>
      <c r="K67" s="122" t="str">
        <f>IF(ISERROR(AVERAGE(K65:K66)),"--",AVERAGE(K65:K66))</f>
        <v>--</v>
      </c>
      <c r="L67" s="122"/>
      <c r="M67" s="122" t="str">
        <f>IF(ISERROR(AVERAGE(M65:M66)),"--",AVERAGE(M65:M66))</f>
        <v>--</v>
      </c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1:24" s="15" customFormat="1" ht="18.75">
      <c r="A68" s="9"/>
      <c r="B68" s="9"/>
      <c r="C68" s="10"/>
      <c r="D68" s="10"/>
      <c r="E68" s="132"/>
      <c r="F68" s="133"/>
      <c r="G68" s="134"/>
      <c r="H68" s="133"/>
      <c r="I68" s="134"/>
      <c r="J68" s="132"/>
      <c r="K68" s="133"/>
      <c r="L68" s="135"/>
      <c r="M68" s="133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s="15" customFormat="1" ht="18">
      <c r="A69" s="44" t="s">
        <v>25</v>
      </c>
      <c r="B69" s="33"/>
      <c r="C69" s="42"/>
      <c r="D69" s="54"/>
      <c r="E69" s="117"/>
      <c r="F69" s="118" t="str">
        <f>IF(ISERROR(AVERAGE(F24,F36,F48,F56,F62,F67)),"--",AVERAGE(F24,F36,F48,F56,F62,F67))</f>
        <v>--</v>
      </c>
      <c r="G69" s="117"/>
      <c r="H69" s="118" t="str">
        <f>IF(ISERROR(AVERAGE(H24,H36,H48,H56,H62,H67)),"--",AVERAGE(H24,H36,H48,H56,H62,H67))</f>
        <v>--</v>
      </c>
      <c r="I69" s="119"/>
      <c r="J69" s="117"/>
      <c r="K69" s="118" t="str">
        <f>IF(ISERROR(AVERAGE(K24,K36,K48,K56,K62,K67)),"--",AVERAGE(K24,K36,K48,K56,K62,K67))</f>
        <v>--</v>
      </c>
      <c r="L69" s="117"/>
      <c r="M69" s="118" t="str">
        <f>IF(ISERROR(AVERAGE(M24,M36,M48,M56,M62,M67)),"--",AVERAGE(M24,M36,M48,M56,M62,M67))</f>
        <v>--</v>
      </c>
      <c r="N69" s="35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5:24" ht="16.5">
      <c r="E70" s="47"/>
      <c r="F70" s="47"/>
      <c r="G70" s="48"/>
      <c r="H70" s="47"/>
      <c r="I70" s="48"/>
      <c r="J70" s="47"/>
      <c r="K70" s="47"/>
      <c r="L70" s="48"/>
      <c r="M70" s="4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</row>
    <row r="71" spans="9:24" ht="16.5">
      <c r="I71" s="56"/>
      <c r="J71" s="50"/>
      <c r="K71" s="50"/>
      <c r="L71" s="56"/>
      <c r="M71" s="50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</row>
    <row r="72" spans="9:24" ht="16.5">
      <c r="I72" s="56"/>
      <c r="J72" s="50"/>
      <c r="K72" s="50"/>
      <c r="L72" s="56"/>
      <c r="M72" s="50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</row>
    <row r="73" spans="9:24" ht="16.5">
      <c r="I73" s="56"/>
      <c r="J73" s="50"/>
      <c r="K73" s="50"/>
      <c r="L73" s="56"/>
      <c r="M73" s="50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</row>
    <row r="74" spans="9:24" ht="16.5">
      <c r="I74" s="56"/>
      <c r="J74" s="50"/>
      <c r="K74" s="50"/>
      <c r="L74" s="56"/>
      <c r="M74" s="50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</row>
    <row r="75" spans="9:24" ht="16.5">
      <c r="I75" s="56"/>
      <c r="J75" s="50"/>
      <c r="K75" s="50"/>
      <c r="L75" s="56"/>
      <c r="M75" s="50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</row>
    <row r="76" spans="9:24" ht="16.5">
      <c r="I76" s="56"/>
      <c r="J76" s="50"/>
      <c r="K76" s="50"/>
      <c r="L76" s="56"/>
      <c r="M76" s="50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</row>
    <row r="77" spans="9:24" ht="16.5">
      <c r="I77" s="56"/>
      <c r="J77" s="50"/>
      <c r="K77" s="50"/>
      <c r="L77" s="56"/>
      <c r="M77" s="50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</row>
    <row r="78" spans="9:24" ht="16.5">
      <c r="I78" s="56"/>
      <c r="J78" s="50"/>
      <c r="K78" s="50"/>
      <c r="L78" s="56"/>
      <c r="M78" s="50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</row>
    <row r="79" spans="9:24" ht="16.5">
      <c r="I79" s="56"/>
      <c r="J79" s="50"/>
      <c r="K79" s="50"/>
      <c r="L79" s="56"/>
      <c r="M79" s="50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</row>
    <row r="80" spans="9:24" ht="16.5">
      <c r="I80" s="56"/>
      <c r="J80" s="50"/>
      <c r="K80" s="50"/>
      <c r="L80" s="56"/>
      <c r="M80" s="50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</row>
    <row r="81" spans="9:24" ht="16.5">
      <c r="I81" s="56"/>
      <c r="J81" s="50"/>
      <c r="K81" s="50"/>
      <c r="L81" s="56"/>
      <c r="M81" s="50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</row>
    <row r="82" spans="9:24" ht="16.5">
      <c r="I82" s="56"/>
      <c r="J82" s="50"/>
      <c r="K82" s="50"/>
      <c r="L82" s="56"/>
      <c r="M82" s="50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</row>
    <row r="83" spans="9:24" ht="16.5">
      <c r="I83" s="56"/>
      <c r="J83" s="50"/>
      <c r="K83" s="50"/>
      <c r="L83" s="56"/>
      <c r="M83" s="50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</row>
    <row r="84" spans="9:24" ht="16.5">
      <c r="I84" s="56"/>
      <c r="J84" s="50"/>
      <c r="K84" s="50"/>
      <c r="L84" s="56"/>
      <c r="M84" s="50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</row>
    <row r="85" spans="9:24" ht="16.5">
      <c r="I85" s="56"/>
      <c r="J85" s="50"/>
      <c r="K85" s="50"/>
      <c r="L85" s="56"/>
      <c r="M85" s="50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</row>
    <row r="86" spans="9:24" ht="16.5">
      <c r="I86" s="56"/>
      <c r="J86" s="50"/>
      <c r="K86" s="50"/>
      <c r="L86" s="56"/>
      <c r="M86" s="50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14:24" ht="16.5"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</row>
    <row r="88" spans="14:24" ht="16.5"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</row>
    <row r="89" spans="14:24" ht="16.5"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</row>
    <row r="90" spans="14:24" ht="16.5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</row>
    <row r="91" spans="14:24" ht="16.5"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</row>
    <row r="92" spans="14:24" ht="16.5"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</row>
    <row r="93" spans="14:24" ht="16.5"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</row>
    <row r="94" spans="14:24" ht="16.5"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</row>
    <row r="95" spans="14:24" ht="16.5"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</row>
    <row r="96" spans="14:24" ht="16.5"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</row>
    <row r="97" spans="14:24" ht="16.5"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</row>
    <row r="98" spans="14:24" ht="16.5"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</row>
    <row r="99" spans="14:24" ht="16.5"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</row>
  </sheetData>
  <sheetProtection password="C45C" sheet="1"/>
  <mergeCells count="10">
    <mergeCell ref="F9:H9"/>
    <mergeCell ref="K9:M9"/>
    <mergeCell ref="C5:G5"/>
    <mergeCell ref="J1:M1"/>
    <mergeCell ref="L5:M5"/>
    <mergeCell ref="K7:M7"/>
    <mergeCell ref="K6:M6"/>
    <mergeCell ref="K3:M3"/>
    <mergeCell ref="C7:G7"/>
    <mergeCell ref="C3:G3"/>
  </mergeCells>
  <conditionalFormatting sqref="M12:M23 H12:H23 H27:H35 M27:M35 H39:H47 M39:M47 M51:M55 H51:H55 H59:H61 M59:M61 H65:H66 M65:M66">
    <cfRule type="cellIs" priority="4" dxfId="3" operator="between">
      <formula>30</formula>
      <formula>49</formula>
    </cfRule>
  </conditionalFormatting>
  <conditionalFormatting sqref="M12:M23 H12:H23 H27:H35 M27:M35 H39:H47 M39:M47 M51:M55 H51:H55 H59:H61 M59:M61 H65:H66 M65:M66">
    <cfRule type="cellIs" priority="3" dxfId="2" operator="between">
      <formula>50</formula>
      <formula>69</formula>
    </cfRule>
  </conditionalFormatting>
  <conditionalFormatting sqref="M12:M23 H12:H23 H27:H35 M27:M35 H39:H47 M39:M47 M51:M55 H51:H55 H59:H61 M59:M61 H65:H66 M65:M66">
    <cfRule type="cellIs" priority="2" dxfId="1" operator="between">
      <formula>70</formula>
      <formula>100</formula>
    </cfRule>
  </conditionalFormatting>
  <conditionalFormatting sqref="H12:H23 M12:M23 H27:H35 M27:M35 H39:H47 M39:M47 H51:H55 M51:M55 H59:H61 M59:M61 H65:H66 M65:M66">
    <cfRule type="cellIs" priority="1" dxfId="0" operator="between">
      <formula>0</formula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CIUSSS de la Capitale-Nationale</dc:creator>
  <cp:keywords/>
  <dc:description/>
  <cp:lastModifiedBy>Desrosiers, Martine</cp:lastModifiedBy>
  <cp:lastPrinted>2018-03-06T16:39:52Z</cp:lastPrinted>
  <dcterms:created xsi:type="dcterms:W3CDTF">2014-04-25T17:48:22Z</dcterms:created>
  <dcterms:modified xsi:type="dcterms:W3CDTF">2018-03-16T16:51:12Z</dcterms:modified>
  <cp:category/>
  <cp:version/>
  <cp:contentType/>
  <cp:contentStatus/>
</cp:coreProperties>
</file>